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28" yWindow="4248" windowWidth="9720" windowHeight="2724" tabRatio="840" activeTab="0"/>
  </bookViews>
  <sheets>
    <sheet name="Home" sheetId="1" r:id="rId1"/>
    <sheet name="Thread" sheetId="2" r:id="rId2"/>
    <sheet name="Cylinder" sheetId="3" r:id="rId3"/>
    <sheet name="Hex column" sheetId="4" r:id="rId4"/>
    <sheet name="Flange" sheetId="5" r:id="rId5"/>
    <sheet name="Hex nut" sheetId="6" r:id="rId6"/>
    <sheet name="Washer" sheetId="7" r:id="rId7"/>
    <sheet name="Spring washer" sheetId="8" r:id="rId8"/>
    <sheet name="Recess" sheetId="9" r:id="rId9"/>
    <sheet name="Sheet" sheetId="10" r:id="rId10"/>
    <sheet name="Wire" sheetId="11" r:id="rId11"/>
    <sheet name="Tetra_nut" sheetId="12" r:id="rId12"/>
    <sheet name="2 Circles" sheetId="13" r:id="rId13"/>
    <sheet name="Circle" sheetId="14" r:id="rId14"/>
    <sheet name="Hex side" sheetId="15" r:id="rId15"/>
    <sheet name="2 Square" sheetId="16" r:id="rId16"/>
    <sheet name="Square" sheetId="17" r:id="rId17"/>
    <sheet name="Hexagon" sheetId="18" r:id="rId18"/>
    <sheet name="Cone" sheetId="19" r:id="rId19"/>
    <sheet name="Sum" sheetId="20" r:id="rId20"/>
    <sheet name="Instruções" sheetId="21" r:id="rId21"/>
  </sheets>
  <definedNames>
    <definedName name="_xlnm.Print_Area" localSheetId="19">'Sum'!$A$2:$K$7</definedName>
  </definedNames>
  <calcPr fullCalcOnLoad="1"/>
</workbook>
</file>

<file path=xl/sharedStrings.xml><?xml version="1.0" encoding="utf-8"?>
<sst xmlns="http://schemas.openxmlformats.org/spreadsheetml/2006/main" count="137" uniqueCount="68">
  <si>
    <t>SUBTOTAL</t>
  </si>
  <si>
    <t>mm2</t>
  </si>
  <si>
    <t>S</t>
  </si>
  <si>
    <t>M</t>
  </si>
  <si>
    <t>p</t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</si>
  <si>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m2)=Sx(5.56xM-3.67xp)</t>
    </r>
  </si>
  <si>
    <t>L</t>
  </si>
  <si>
    <t>D</t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</si>
  <si>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m2)=3.14xLxD</t>
    </r>
  </si>
  <si>
    <t>B</t>
  </si>
  <si>
    <t>H</t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</si>
  <si>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m2)=1.73xBx(B+2xH)</t>
    </r>
  </si>
  <si>
    <t>R</t>
  </si>
  <si>
    <t>d</t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</si>
  <si>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m2)=1.57x</t>
    </r>
    <r>
      <rPr>
        <sz val="10"/>
        <rFont val="Arial"/>
        <family val="2"/>
      </rPr>
      <t>R</t>
    </r>
    <r>
      <rPr>
        <sz val="10"/>
        <rFont val="Arial"/>
        <family val="2"/>
      </rPr>
      <t>x</t>
    </r>
    <r>
      <rPr>
        <sz val="10"/>
        <rFont val="Arial"/>
        <family val="2"/>
      </rPr>
      <t>R</t>
    </r>
    <r>
      <rPr>
        <sz val="10"/>
        <rFont val="Arial"/>
        <family val="2"/>
      </rPr>
      <t>+3.46x</t>
    </r>
    <r>
      <rPr>
        <sz val="10"/>
        <rFont val="Arial"/>
        <family val="2"/>
      </rPr>
      <t>B</t>
    </r>
    <r>
      <rPr>
        <sz val="10"/>
        <rFont val="Arial"/>
        <family val="2"/>
      </rPr>
      <t>xH+3.14xdx</t>
    </r>
    <r>
      <rPr>
        <sz val="10"/>
        <rFont val="Arial"/>
        <family val="2"/>
      </rPr>
      <t>R</t>
    </r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</si>
  <si>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m2)=1.73xBx(B+2xH)-1.57xRxR+Hx(5.56xR-3.67xp)</t>
    </r>
  </si>
  <si>
    <t>r</t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</si>
  <si>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m2)=1.57x(R+r)x(R-r+2xd)</t>
    </r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</si>
  <si>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m2)=1.57x(R+r)x(R-r+2xd)+(R-r)xd</t>
    </r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</si>
  <si>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m2)=4XLxd</t>
    </r>
  </si>
  <si>
    <t xml:space="preserve"> </t>
  </si>
  <si>
    <t>t</t>
  </si>
  <si>
    <t>Weight :g</t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</si>
  <si>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m2)=254xWeight/d</t>
    </r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</si>
  <si>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m2)=509xWeight/t</t>
    </r>
  </si>
  <si>
    <t>A</t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</si>
  <si>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m2)=2xAxB+2xAxD+2xBxD+Dx(5.56xM-3.67xp)-1.57xMxM</t>
    </r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</si>
  <si>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m2)=1.57xRxR</t>
    </r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</si>
  <si>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m2)=0.785xRxR</t>
    </r>
  </si>
  <si>
    <r>
      <t>SA(</t>
    </r>
    <r>
      <rPr>
        <sz val="10"/>
        <rFont val="Arial"/>
        <family val="2"/>
      </rPr>
      <t>m</t>
    </r>
    <r>
      <rPr>
        <sz val="10"/>
        <rFont val="Arial"/>
        <family val="2"/>
      </rPr>
      <t>m2)=3.462xHxD</t>
    </r>
  </si>
  <si>
    <r>
      <t>S</t>
    </r>
    <r>
      <rPr>
        <sz val="10"/>
        <rFont val="Arial"/>
        <family val="2"/>
      </rPr>
      <t>A(mm2)</t>
    </r>
    <r>
      <rPr>
        <sz val="10"/>
        <rFont val="Arial"/>
        <family val="2"/>
      </rPr>
      <t>=</t>
    </r>
    <r>
      <rPr>
        <sz val="10"/>
        <rFont val="Arial"/>
        <family val="2"/>
      </rPr>
      <t>2xAxB</t>
    </r>
  </si>
  <si>
    <r>
      <t>S</t>
    </r>
    <r>
      <rPr>
        <sz val="10"/>
        <rFont val="Arial"/>
        <family val="2"/>
      </rPr>
      <t>A(mm2)</t>
    </r>
    <r>
      <rPr>
        <sz val="10"/>
        <rFont val="Arial"/>
        <family val="2"/>
      </rPr>
      <t>=A</t>
    </r>
    <r>
      <rPr>
        <sz val="10"/>
        <rFont val="Arial"/>
        <family val="2"/>
      </rPr>
      <t>xB</t>
    </r>
  </si>
  <si>
    <r>
      <t>S</t>
    </r>
    <r>
      <rPr>
        <sz val="10"/>
        <rFont val="Arial"/>
        <family val="2"/>
      </rPr>
      <t>A(mm2)</t>
    </r>
    <r>
      <rPr>
        <sz val="10"/>
        <rFont val="Arial"/>
        <family val="2"/>
      </rPr>
      <t>=0.866</t>
    </r>
    <r>
      <rPr>
        <sz val="10"/>
        <rFont val="Arial"/>
        <family val="2"/>
      </rPr>
      <t>xHxH</t>
    </r>
  </si>
  <si>
    <r>
      <t>S</t>
    </r>
    <r>
      <rPr>
        <sz val="10"/>
        <rFont val="Arial"/>
        <family val="2"/>
      </rPr>
      <t>A(mm2)=</t>
    </r>
    <r>
      <rPr>
        <sz val="10"/>
        <rFont val="Arial"/>
        <family val="2"/>
      </rPr>
      <t>1.57</t>
    </r>
    <r>
      <rPr>
        <sz val="10"/>
        <rFont val="Arial"/>
        <family val="2"/>
      </rPr>
      <t>xRxroot(RxR/4+HxH)</t>
    </r>
  </si>
  <si>
    <t>TOTAL</t>
  </si>
  <si>
    <t>dm2</t>
  </si>
  <si>
    <t>m2</t>
  </si>
  <si>
    <t>ft2</t>
  </si>
  <si>
    <t>Subtotals</t>
  </si>
  <si>
    <t>Thread</t>
  </si>
  <si>
    <t>Cylinder</t>
  </si>
  <si>
    <t>Hex coloum</t>
  </si>
  <si>
    <t>Flange</t>
  </si>
  <si>
    <t>Hex nut</t>
  </si>
  <si>
    <t>Washer</t>
  </si>
  <si>
    <t>S washer</t>
  </si>
  <si>
    <t>Recess</t>
  </si>
  <si>
    <t>Sheet</t>
  </si>
  <si>
    <t>Wire</t>
  </si>
  <si>
    <t>Tetra nut</t>
  </si>
  <si>
    <t>2 circles</t>
  </si>
  <si>
    <t>Circle</t>
  </si>
  <si>
    <t>Hex side</t>
  </si>
  <si>
    <t>2 square</t>
  </si>
  <si>
    <t>Square</t>
  </si>
  <si>
    <t>Hexagon</t>
  </si>
  <si>
    <t>Cone</t>
  </si>
  <si>
    <t>Manual calc.</t>
  </si>
  <si>
    <t>Para o cálculo de parafusos, realizar o cálculo da rosca, cilindro, sextavado ou flange e não esquecer do cálculo do lado de baixo da cabeça</t>
  </si>
  <si>
    <t>que possui uma área onde deve ser descontada o diâmetro da rosca ou cilindro. Pode-se calcular utilizando a aba circulo.</t>
  </si>
  <si>
    <t>Também deve-se lembrar de calcular a área do circulo na parte do corte da rosca (ponta do parafuso)</t>
  </si>
  <si>
    <t>Lembre-se sempre de apagar os dados de valores digitados antes de iniciar um novo cálculo</t>
  </si>
  <si>
    <t>Esta planilha foi desenvolvida para auxiliar nos cálculos, tendo valores aproximados. Não considerar como valores exatos.</t>
  </si>
  <si>
    <t>e desta forma subtrair do circulo total o circulo da área do encaixe da cabeça com a rosca e somar este valor aos demais (sextavado ou flange, cilindro e rosca).</t>
  </si>
  <si>
    <t>Deve calcular a área do circulo total embaixo da cabeça do parafuso e depois a área do circulo onde tem o encaixa da cabeça com o corpo do parafuso,</t>
  </si>
  <si>
    <t>Planilha de código aberto. Não há direitos autorais e qualquer pessoa pode incrementar, modificar, utilizar e repassar sem necessidade de pagamentos</t>
  </si>
  <si>
    <t>Caso faça alguma modificação, se certificar de que os cálculos estão corretos para o uso antes de repassar a planilha a terceiros</t>
  </si>
  <si>
    <t>O uso dos valores gerados pela planilha é de inteira responsabilidade do usuário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</si>
</sst>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\&quot;#,##0;&quot;\&quot;\-#,##0"/>
    <numFmt numFmtId="187" formatCode="&quot;\&quot;#,##0;[Red]&quot;\&quot;\-#,##0"/>
    <numFmt numFmtId="188" formatCode="&quot;\&quot;#,##0.00;&quot;\&quot;\-#,##0.00"/>
    <numFmt numFmtId="189" formatCode="&quot;\&quot;#,##0.00;[Red]&quot;\&quot;\-#,##0.00"/>
    <numFmt numFmtId="190" formatCode="_ &quot;\&quot;* #,##0_ ;_ &quot;\&quot;* \-#,##0_ ;_ &quot;\&quot;* &quot;-&quot;_ ;_ @_ "/>
    <numFmt numFmtId="191" formatCode="_ * #,##0_ ;_ * \-#,##0_ ;_ * &quot;-&quot;_ ;_ @_ "/>
    <numFmt numFmtId="192" formatCode="_ &quot;\&quot;* #,##0.00_ ;_ &quot;\&quot;* \-#,##0.00_ ;_ &quot;\&quot;* &quot;-&quot;??_ ;_ @_ "/>
    <numFmt numFmtId="193" formatCode="_ * #,##0.00_ ;_ * \-#,##0.00_ ;_ * &quot;-&quot;??_ ;_ @_ 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#,##0.000"/>
    <numFmt numFmtId="199" formatCode="0.0"/>
    <numFmt numFmtId="200" formatCode="0.000"/>
    <numFmt numFmtId="201" formatCode="0.0000"/>
    <numFmt numFmtId="202" formatCode="0.00000"/>
    <numFmt numFmtId="203" formatCode="0.000000"/>
    <numFmt numFmtId="204" formatCode="0.0000000"/>
    <numFmt numFmtId="205" formatCode="#,##0.000000_);[Red]\(#,##0.000000\)"/>
    <numFmt numFmtId="206" formatCode="#,##0.00000_);[Red]\(#,##0.00000\)"/>
    <numFmt numFmtId="207" formatCode="#,##0.0"/>
    <numFmt numFmtId="208" formatCode="0_ "/>
    <numFmt numFmtId="209" formatCode="0_);[Red]\(0\)"/>
    <numFmt numFmtId="210" formatCode="0.0_);[Red]\(0.0\)"/>
    <numFmt numFmtId="211" formatCode="0.00_);[Red]\(0.00\)"/>
    <numFmt numFmtId="212" formatCode="0.000_);[Red]\(0.000\)"/>
    <numFmt numFmtId="213" formatCode="0.0000_);[Red]\(0.0000\)"/>
    <numFmt numFmtId="214" formatCode="0.00000_);[Red]\(0.00000\)"/>
    <numFmt numFmtId="215" formatCode="0.000000_);[Red]\(0.000000\)"/>
    <numFmt numFmtId="216" formatCode="0.0000000_);[Red]\(0.0000000\)"/>
    <numFmt numFmtId="217" formatCode="0.00000000_);[Red]\(0.00000000\)"/>
    <numFmt numFmtId="218" formatCode="&quot;Sim&quot;;&quot;Sim&quot;;&quot;Não&quot;"/>
    <numFmt numFmtId="219" formatCode="&quot;Verdadeiro&quot;;&quot;Verdadeiro&quot;;&quot;Falso&quot;"/>
    <numFmt numFmtId="220" formatCode="&quot;Ativado&quot;;&quot;Ativado&quot;;&quot;Desativado&quot;"/>
    <numFmt numFmtId="221" formatCode="[$€-2]\ #,##0.00_);[Red]\([$€-2]\ #,##0.00\)"/>
  </numFmts>
  <fonts count="59">
    <font>
      <sz val="10"/>
      <name val="Arial"/>
      <family val="2"/>
    </font>
    <font>
      <b/>
      <sz val="12"/>
      <color indexed="8"/>
      <name val="Arial"/>
      <family val="2"/>
    </font>
    <font>
      <i/>
      <sz val="11"/>
      <name val="‚l‚r ‚oƒSƒVƒbƒN"/>
      <family val="3"/>
    </font>
    <font>
      <b/>
      <i/>
      <sz val="11"/>
      <name val="‚l‚r ‚oƒSƒVƒbƒN"/>
      <family val="3"/>
    </font>
    <font>
      <sz val="10"/>
      <color indexed="8"/>
      <name val="Arial"/>
      <family val="2"/>
    </font>
    <font>
      <sz val="10"/>
      <color indexed="8"/>
      <name val="‚l‚r –¾’©"/>
      <family val="1"/>
    </font>
    <font>
      <sz val="10"/>
      <name val="‚l‚r ƒSƒVƒbƒN"/>
      <family val="3"/>
    </font>
    <font>
      <sz val="10"/>
      <name val="‚l‚r ‚oƒSƒVƒbƒN"/>
      <family val="3"/>
    </font>
    <font>
      <sz val="16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‚i‚rƒSƒVƒbƒN"/>
      <family val="3"/>
    </font>
    <font>
      <sz val="9"/>
      <color indexed="8"/>
      <name val="Arial"/>
      <family val="2"/>
    </font>
    <font>
      <sz val="9"/>
      <color indexed="10"/>
      <name val="‚i‚rƒSƒVƒbƒN"/>
      <family val="3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‚i‚rƒSƒVƒbƒN"/>
      <family val="3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double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2" applyNumberFormat="0" applyAlignment="0" applyProtection="0"/>
    <xf numFmtId="0" fontId="46" fillId="0" borderId="3" applyNumberFormat="0" applyFill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7" fillId="30" borderId="1" applyNumberFormat="0" applyAlignment="0" applyProtection="0"/>
    <xf numFmtId="0" fontId="48" fillId="2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33" borderId="4" applyNumberFormat="0" applyFont="0" applyAlignment="0" applyProtection="0"/>
    <xf numFmtId="0" fontId="51" fillId="22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81">
    <xf numFmtId="0" fontId="0" fillId="2" borderId="0" xfId="0" applyNumberFormat="1" applyAlignment="1">
      <alignment/>
    </xf>
    <xf numFmtId="0" fontId="0" fillId="3" borderId="10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16" fillId="3" borderId="11" xfId="0" applyFont="1" applyFill="1" applyBorder="1" applyAlignment="1">
      <alignment horizontal="left"/>
    </xf>
    <xf numFmtId="38" fontId="17" fillId="3" borderId="12" xfId="0" applyNumberFormat="1" applyFont="1" applyFill="1" applyBorder="1" applyAlignment="1">
      <alignment horizontal="centerContinuous"/>
    </xf>
    <xf numFmtId="38" fontId="18" fillId="3" borderId="13" xfId="0" applyNumberFormat="1" applyFont="1" applyFill="1" applyBorder="1" applyAlignment="1">
      <alignment horizontal="centerContinuous"/>
    </xf>
    <xf numFmtId="0" fontId="19" fillId="3" borderId="10" xfId="0" applyNumberFormat="1" applyFont="1" applyFill="1" applyBorder="1" applyAlignment="1">
      <alignment horizontal="centerContinuous"/>
    </xf>
    <xf numFmtId="212" fontId="17" fillId="3" borderId="12" xfId="0" applyNumberFormat="1" applyFont="1" applyFill="1" applyBorder="1" applyAlignment="1">
      <alignment horizontal="centerContinuous"/>
    </xf>
    <xf numFmtId="212" fontId="20" fillId="3" borderId="13" xfId="0" applyNumberFormat="1" applyFont="1" applyFill="1" applyBorder="1" applyAlignment="1">
      <alignment horizontal="centerContinuous"/>
    </xf>
    <xf numFmtId="206" fontId="17" fillId="3" borderId="10" xfId="0" applyNumberFormat="1" applyFont="1" applyFill="1" applyBorder="1" applyAlignment="1">
      <alignment horizontal="centerContinuous"/>
    </xf>
    <xf numFmtId="214" fontId="17" fillId="3" borderId="12" xfId="0" applyNumberFormat="1" applyFont="1" applyFill="1" applyBorder="1" applyAlignment="1">
      <alignment horizontal="centerContinuous"/>
    </xf>
    <xf numFmtId="214" fontId="20" fillId="3" borderId="13" xfId="0" applyNumberFormat="1" applyFont="1" applyFill="1" applyBorder="1" applyAlignment="1">
      <alignment horizontal="centerContinuous"/>
    </xf>
    <xf numFmtId="0" fontId="17" fillId="3" borderId="10" xfId="0" applyNumberFormat="1" applyFont="1" applyFill="1" applyBorder="1" applyAlignment="1">
      <alignment/>
    </xf>
    <xf numFmtId="213" fontId="17" fillId="3" borderId="12" xfId="0" applyNumberFormat="1" applyFont="1" applyFill="1" applyBorder="1" applyAlignment="1">
      <alignment horizontal="centerContinuous"/>
    </xf>
    <xf numFmtId="213" fontId="20" fillId="3" borderId="13" xfId="0" applyNumberFormat="1" applyFont="1" applyFill="1" applyBorder="1" applyAlignment="1">
      <alignment horizontal="centerContinuous"/>
    </xf>
    <xf numFmtId="0" fontId="17" fillId="3" borderId="14" xfId="0" applyNumberFormat="1" applyFont="1" applyFill="1" applyBorder="1" applyAlignment="1">
      <alignment horizontal="centerContinuous"/>
    </xf>
    <xf numFmtId="0" fontId="8" fillId="3" borderId="0" xfId="0" applyNumberFormat="1" applyFont="1" applyFill="1" applyAlignment="1">
      <alignment/>
    </xf>
    <xf numFmtId="0" fontId="16" fillId="3" borderId="0" xfId="0" applyFont="1" applyFill="1" applyAlignment="1">
      <alignment horizontal="left"/>
    </xf>
    <xf numFmtId="38" fontId="17" fillId="3" borderId="0" xfId="0" applyNumberFormat="1" applyFont="1" applyFill="1" applyBorder="1" applyAlignment="1">
      <alignment horizontal="centerContinuous"/>
    </xf>
    <xf numFmtId="38" fontId="18" fillId="3" borderId="0" xfId="0" applyNumberFormat="1" applyFont="1" applyFill="1" applyBorder="1" applyAlignment="1">
      <alignment horizontal="centerContinuous"/>
    </xf>
    <xf numFmtId="0" fontId="19" fillId="3" borderId="0" xfId="0" applyNumberFormat="1" applyFont="1" applyFill="1" applyAlignment="1">
      <alignment horizontal="centerContinuous"/>
    </xf>
    <xf numFmtId="212" fontId="17" fillId="3" borderId="0" xfId="0" applyNumberFormat="1" applyFont="1" applyFill="1" applyBorder="1" applyAlignment="1">
      <alignment horizontal="centerContinuous"/>
    </xf>
    <xf numFmtId="212" fontId="20" fillId="3" borderId="0" xfId="0" applyNumberFormat="1" applyFont="1" applyFill="1" applyBorder="1" applyAlignment="1">
      <alignment horizontal="centerContinuous"/>
    </xf>
    <xf numFmtId="206" fontId="17" fillId="3" borderId="0" xfId="0" applyNumberFormat="1" applyFont="1" applyFill="1" applyAlignment="1">
      <alignment horizontal="centerContinuous"/>
    </xf>
    <xf numFmtId="214" fontId="17" fillId="3" borderId="0" xfId="0" applyNumberFormat="1" applyFont="1" applyFill="1" applyBorder="1" applyAlignment="1">
      <alignment horizontal="centerContinuous"/>
    </xf>
    <xf numFmtId="214" fontId="20" fillId="3" borderId="0" xfId="0" applyNumberFormat="1" applyFont="1" applyFill="1" applyBorder="1" applyAlignment="1">
      <alignment horizontal="centerContinuous"/>
    </xf>
    <xf numFmtId="0" fontId="17" fillId="3" borderId="0" xfId="0" applyNumberFormat="1" applyFont="1" applyFill="1" applyAlignment="1">
      <alignment/>
    </xf>
    <xf numFmtId="213" fontId="17" fillId="3" borderId="0" xfId="0" applyNumberFormat="1" applyFont="1" applyFill="1" applyAlignment="1">
      <alignment horizontal="centerContinuous"/>
    </xf>
    <xf numFmtId="213" fontId="20" fillId="3" borderId="0" xfId="0" applyNumberFormat="1" applyFont="1" applyFill="1" applyAlignment="1">
      <alignment horizontal="centerContinuous"/>
    </xf>
    <xf numFmtId="0" fontId="17" fillId="3" borderId="0" xfId="0" applyNumberFormat="1" applyFont="1" applyFill="1" applyAlignment="1">
      <alignment horizontal="centerContinuous"/>
    </xf>
    <xf numFmtId="0" fontId="9" fillId="3" borderId="15" xfId="0" applyNumberFormat="1" applyFont="1" applyFill="1" applyBorder="1" applyAlignment="1">
      <alignment horizontal="center"/>
    </xf>
    <xf numFmtId="0" fontId="9" fillId="3" borderId="16" xfId="0" applyNumberFormat="1" applyFont="1" applyFill="1" applyBorder="1" applyAlignment="1">
      <alignment horizontal="left"/>
    </xf>
    <xf numFmtId="0" fontId="9" fillId="3" borderId="15" xfId="0" applyNumberFormat="1" applyFont="1" applyFill="1" applyBorder="1" applyAlignment="1">
      <alignment horizontal="left"/>
    </xf>
    <xf numFmtId="0" fontId="10" fillId="3" borderId="15" xfId="0" applyNumberFormat="1" applyFont="1" applyFill="1" applyBorder="1" applyAlignment="1">
      <alignment horizontal="left"/>
    </xf>
    <xf numFmtId="0" fontId="0" fillId="3" borderId="17" xfId="0" applyNumberFormat="1" applyFill="1" applyBorder="1" applyAlignment="1">
      <alignment/>
    </xf>
    <xf numFmtId="0" fontId="13" fillId="3" borderId="18" xfId="0" applyNumberFormat="1" applyFont="1" applyFill="1" applyBorder="1" applyAlignment="1">
      <alignment horizontal="center"/>
    </xf>
    <xf numFmtId="208" fontId="11" fillId="3" borderId="19" xfId="0" applyNumberFormat="1" applyFont="1" applyFill="1" applyBorder="1" applyAlignment="1">
      <alignment horizontal="right"/>
    </xf>
    <xf numFmtId="208" fontId="11" fillId="3" borderId="20" xfId="0" applyNumberFormat="1" applyFont="1" applyFill="1" applyBorder="1" applyAlignment="1">
      <alignment horizontal="right"/>
    </xf>
    <xf numFmtId="0" fontId="10" fillId="3" borderId="16" xfId="0" applyNumberFormat="1" applyFont="1" applyFill="1" applyBorder="1" applyAlignment="1">
      <alignment horizontal="left"/>
    </xf>
    <xf numFmtId="0" fontId="15" fillId="3" borderId="15" xfId="0" applyNumberFormat="1" applyFont="1" applyFill="1" applyBorder="1" applyAlignment="1">
      <alignment horizontal="left"/>
    </xf>
    <xf numFmtId="0" fontId="12" fillId="3" borderId="21" xfId="0" applyNumberFormat="1" applyFont="1" applyFill="1" applyBorder="1" applyAlignment="1">
      <alignment horizontal="left"/>
    </xf>
    <xf numFmtId="0" fontId="14" fillId="3" borderId="22" xfId="0" applyNumberFormat="1" applyFont="1" applyFill="1" applyBorder="1" applyAlignment="1">
      <alignment horizontal="center"/>
    </xf>
    <xf numFmtId="208" fontId="11" fillId="3" borderId="23" xfId="0" applyNumberFormat="1" applyFont="1" applyFill="1" applyBorder="1" applyAlignment="1">
      <alignment horizontal="right"/>
    </xf>
    <xf numFmtId="208" fontId="11" fillId="3" borderId="24" xfId="0" applyNumberFormat="1" applyFont="1" applyFill="1" applyBorder="1" applyAlignment="1">
      <alignment horizontal="right"/>
    </xf>
    <xf numFmtId="208" fontId="11" fillId="3" borderId="25" xfId="0" applyNumberFormat="1" applyFont="1" applyFill="1" applyBorder="1" applyAlignment="1">
      <alignment horizontal="right"/>
    </xf>
    <xf numFmtId="0" fontId="5" fillId="3" borderId="0" xfId="0" applyNumberFormat="1" applyFont="1" applyFill="1" applyAlignment="1">
      <alignment/>
    </xf>
    <xf numFmtId="0" fontId="0" fillId="15" borderId="0" xfId="0" applyNumberFormat="1" applyFont="1" applyFill="1" applyAlignment="1" applyProtection="1">
      <alignment/>
      <protection locked="0"/>
    </xf>
    <xf numFmtId="0" fontId="0" fillId="15" borderId="0" xfId="0" applyNumberFormat="1" applyFont="1" applyFill="1" applyAlignment="1" applyProtection="1">
      <alignment/>
      <protection/>
    </xf>
    <xf numFmtId="0" fontId="0" fillId="2" borderId="0" xfId="0" applyNumberFormat="1" applyAlignment="1" applyProtection="1">
      <alignment/>
      <protection hidden="1"/>
    </xf>
    <xf numFmtId="0" fontId="0" fillId="34" borderId="0" xfId="0" applyNumberFormat="1" applyFill="1" applyAlignment="1" applyProtection="1">
      <alignment/>
      <protection/>
    </xf>
    <xf numFmtId="0" fontId="0" fillId="15" borderId="0" xfId="0" applyNumberFormat="1" applyFill="1" applyAlignment="1" applyProtection="1">
      <alignment/>
      <protection locked="0"/>
    </xf>
    <xf numFmtId="0" fontId="0" fillId="15" borderId="0" xfId="0" applyNumberFormat="1" applyFill="1" applyAlignment="1" applyProtection="1">
      <alignment/>
      <protection/>
    </xf>
    <xf numFmtId="0" fontId="0" fillId="15" borderId="0" xfId="0" applyNumberFormat="1" applyFont="1" applyFill="1" applyAlignment="1" applyProtection="1">
      <alignment horizontal="right"/>
      <protection locked="0"/>
    </xf>
    <xf numFmtId="208" fontId="4" fillId="15" borderId="0" xfId="0" applyNumberFormat="1" applyFont="1" applyFill="1" applyAlignment="1" applyProtection="1">
      <alignment/>
      <protection locked="0"/>
    </xf>
    <xf numFmtId="0" fontId="21" fillId="15" borderId="0" xfId="0" applyNumberFormat="1" applyFont="1" applyFill="1" applyAlignment="1" applyProtection="1">
      <alignment/>
      <protection locked="0"/>
    </xf>
    <xf numFmtId="0" fontId="0" fillId="15" borderId="0" xfId="0" applyNumberFormat="1" applyFont="1" applyFill="1" applyAlignment="1" applyProtection="1">
      <alignment horizontal="right" vertical="center"/>
      <protection locked="0"/>
    </xf>
    <xf numFmtId="208" fontId="0" fillId="15" borderId="0" xfId="0" applyNumberFormat="1" applyFont="1" applyFill="1" applyBorder="1" applyAlignment="1" applyProtection="1">
      <alignment horizontal="center"/>
      <protection locked="0"/>
    </xf>
    <xf numFmtId="0" fontId="0" fillId="15" borderId="0" xfId="0" applyNumberFormat="1" applyFont="1" applyFill="1" applyAlignment="1" applyProtection="1">
      <alignment horizontal="center"/>
      <protection locked="0"/>
    </xf>
    <xf numFmtId="0" fontId="0" fillId="15" borderId="26" xfId="0" applyNumberFormat="1" applyFont="1" applyFill="1" applyBorder="1" applyAlignment="1" applyProtection="1">
      <alignment/>
      <protection locked="0"/>
    </xf>
    <xf numFmtId="0" fontId="0" fillId="15" borderId="27" xfId="0" applyNumberFormat="1" applyFont="1" applyFill="1" applyBorder="1" applyAlignment="1" applyProtection="1">
      <alignment/>
      <protection locked="0"/>
    </xf>
    <xf numFmtId="0" fontId="0" fillId="15" borderId="28" xfId="0" applyNumberFormat="1" applyFont="1" applyFill="1" applyBorder="1" applyAlignment="1" applyProtection="1">
      <alignment/>
      <protection locked="0"/>
    </xf>
    <xf numFmtId="0" fontId="0" fillId="15" borderId="0" xfId="0" applyFont="1" applyFill="1" applyAlignment="1" applyProtection="1">
      <alignment horizontal="center"/>
      <protection locked="0"/>
    </xf>
    <xf numFmtId="0" fontId="0" fillId="15" borderId="29" xfId="0" applyNumberFormat="1" applyFont="1" applyFill="1" applyBorder="1" applyAlignment="1" applyProtection="1">
      <alignment/>
      <protection locked="0"/>
    </xf>
    <xf numFmtId="0" fontId="0" fillId="15" borderId="30" xfId="0" applyNumberFormat="1" applyFont="1" applyFill="1" applyBorder="1" applyAlignment="1" applyProtection="1">
      <alignment/>
      <protection locked="0"/>
    </xf>
    <xf numFmtId="0" fontId="0" fillId="15" borderId="31" xfId="0" applyNumberFormat="1" applyFont="1" applyFill="1" applyBorder="1" applyAlignment="1" applyProtection="1">
      <alignment/>
      <protection locked="0"/>
    </xf>
    <xf numFmtId="198" fontId="0" fillId="15" borderId="0" xfId="0" applyNumberFormat="1" applyFont="1" applyFill="1" applyBorder="1" applyAlignment="1" applyProtection="1">
      <alignment horizontal="left"/>
      <protection/>
    </xf>
    <xf numFmtId="0" fontId="0" fillId="15" borderId="0" xfId="0" applyNumberFormat="1" applyFont="1" applyFill="1" applyAlignment="1" applyProtection="1">
      <alignment horizontal="left" vertical="center"/>
      <protection locked="0"/>
    </xf>
    <xf numFmtId="0" fontId="0" fillId="15" borderId="0" xfId="0" applyNumberFormat="1" applyFont="1" applyFill="1" applyAlignment="1" applyProtection="1">
      <alignment horizontal="center" vertical="center"/>
      <protection locked="0"/>
    </xf>
    <xf numFmtId="0" fontId="0" fillId="15" borderId="32" xfId="0" applyNumberFormat="1" applyFont="1" applyFill="1" applyBorder="1" applyAlignment="1" applyProtection="1">
      <alignment/>
      <protection locked="0"/>
    </xf>
    <xf numFmtId="0" fontId="0" fillId="15" borderId="0" xfId="0" applyNumberFormat="1" applyFont="1" applyFill="1" applyAlignment="1" applyProtection="1">
      <alignment horizontal="center"/>
      <protection/>
    </xf>
    <xf numFmtId="0" fontId="0" fillId="15" borderId="0" xfId="0" applyNumberFormat="1" applyFont="1" applyFill="1" applyAlignment="1" applyProtection="1">
      <alignment horizontal="left" vertical="center"/>
      <protection/>
    </xf>
    <xf numFmtId="0" fontId="0" fillId="15" borderId="0" xfId="0" applyNumberFormat="1" applyFont="1" applyFill="1" applyAlignment="1" applyProtection="1">
      <alignment horizontal="center" vertical="center"/>
      <protection/>
    </xf>
    <xf numFmtId="0" fontId="0" fillId="15" borderId="32" xfId="0" applyFont="1" applyFill="1" applyBorder="1" applyAlignment="1" applyProtection="1">
      <alignment/>
      <protection locked="0"/>
    </xf>
    <xf numFmtId="0" fontId="7" fillId="15" borderId="0" xfId="0" applyNumberFormat="1" applyFont="1" applyFill="1" applyAlignment="1" applyProtection="1">
      <alignment horizontal="center"/>
      <protection locked="0"/>
    </xf>
    <xf numFmtId="0" fontId="7" fillId="15" borderId="0" xfId="0" applyNumberFormat="1" applyFont="1" applyFill="1" applyAlignment="1" applyProtection="1">
      <alignment horizontal="center" vertical="center"/>
      <protection locked="0"/>
    </xf>
    <xf numFmtId="0" fontId="7" fillId="15" borderId="0" xfId="0" applyNumberFormat="1" applyFont="1" applyFill="1" applyAlignment="1" applyProtection="1">
      <alignment horizontal="center"/>
      <protection/>
    </xf>
    <xf numFmtId="0" fontId="7" fillId="15" borderId="0" xfId="0" applyNumberFormat="1" applyFont="1" applyFill="1" applyAlignment="1" applyProtection="1">
      <alignment horizontal="left" vertical="center"/>
      <protection/>
    </xf>
    <xf numFmtId="0" fontId="7" fillId="15" borderId="0" xfId="0" applyNumberFormat="1" applyFont="1" applyFill="1" applyAlignment="1" applyProtection="1">
      <alignment horizontal="center" vertical="center"/>
      <protection/>
    </xf>
    <xf numFmtId="0" fontId="7" fillId="15" borderId="0" xfId="0" applyNumberFormat="1" applyFont="1" applyFill="1" applyAlignment="1" applyProtection="1">
      <alignment/>
      <protection/>
    </xf>
    <xf numFmtId="0" fontId="6" fillId="15" borderId="0" xfId="0" applyNumberFormat="1" applyFont="1" applyFill="1" applyAlignment="1" applyProtection="1">
      <alignment/>
      <protection/>
    </xf>
    <xf numFmtId="0" fontId="0" fillId="15" borderId="0" xfId="0" applyNumberFormat="1" applyFont="1" applyFill="1" applyAlignment="1" applyProtection="1">
      <alignment horizontal="center"/>
      <protection locked="0"/>
    </xf>
  </cellXfs>
  <cellStyles count="4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Neutra" xfId="46"/>
    <cellStyle name="Nota" xfId="47"/>
    <cellStyle name="Saída" xfId="48"/>
    <cellStyle name="Texto de Aviso" xfId="49"/>
    <cellStyle name="Texto Explicativo" xfId="50"/>
    <cellStyle name="Título" xfId="51"/>
    <cellStyle name="Título 1" xfId="52"/>
    <cellStyle name="Título 2" xfId="53"/>
    <cellStyle name="Título 3" xfId="54"/>
    <cellStyle name="Título 4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hread!A1" /><Relationship Id="rId2" Type="http://schemas.openxmlformats.org/officeDocument/2006/relationships/hyperlink" Target="#'Hex column'!A1" /><Relationship Id="rId3" Type="http://schemas.openxmlformats.org/officeDocument/2006/relationships/hyperlink" Target="#Cylinder!A1" /><Relationship Id="rId4" Type="http://schemas.openxmlformats.org/officeDocument/2006/relationships/hyperlink" Target="#'Hex nut'!A1" /><Relationship Id="rId5" Type="http://schemas.openxmlformats.org/officeDocument/2006/relationships/hyperlink" Target="#Flange!A1" /><Relationship Id="rId6" Type="http://schemas.openxmlformats.org/officeDocument/2006/relationships/hyperlink" Target="#'Spring washer'!A1" /><Relationship Id="rId7" Type="http://schemas.openxmlformats.org/officeDocument/2006/relationships/hyperlink" Target="#Washer!A1" /><Relationship Id="rId8" Type="http://schemas.openxmlformats.org/officeDocument/2006/relationships/hyperlink" Target="#Sheet!A1" /><Relationship Id="rId9" Type="http://schemas.openxmlformats.org/officeDocument/2006/relationships/hyperlink" Target="#Recess!A1" /><Relationship Id="rId10" Type="http://schemas.openxmlformats.org/officeDocument/2006/relationships/hyperlink" Target="#Tetra_nut!A1" /><Relationship Id="rId11" Type="http://schemas.openxmlformats.org/officeDocument/2006/relationships/hyperlink" Target="#Wire!A1" /><Relationship Id="rId12" Type="http://schemas.openxmlformats.org/officeDocument/2006/relationships/hyperlink" Target="#Square!A1" /><Relationship Id="rId13" Type="http://schemas.openxmlformats.org/officeDocument/2006/relationships/hyperlink" Target="#Cone!A1" /><Relationship Id="rId14" Type="http://schemas.openxmlformats.org/officeDocument/2006/relationships/hyperlink" Target="#Hexagon!A1" /><Relationship Id="rId15" Type="http://schemas.openxmlformats.org/officeDocument/2006/relationships/hyperlink" Target="#'2 Square'!A1" /><Relationship Id="rId16" Type="http://schemas.openxmlformats.org/officeDocument/2006/relationships/hyperlink" Target="#'Hex side'!A1" /><Relationship Id="rId17" Type="http://schemas.openxmlformats.org/officeDocument/2006/relationships/hyperlink" Target="#Circle!A1" /><Relationship Id="rId18" Type="http://schemas.openxmlformats.org/officeDocument/2006/relationships/hyperlink" Target="#'2 Circles'!A1" /><Relationship Id="rId19" Type="http://schemas.openxmlformats.org/officeDocument/2006/relationships/hyperlink" Target="#Sum!A1" /><Relationship Id="rId20" Type="http://schemas.openxmlformats.org/officeDocument/2006/relationships/hyperlink" Target="#Sum!A1" /><Relationship Id="rId21" Type="http://schemas.openxmlformats.org/officeDocument/2006/relationships/hyperlink" Target="#Instru&#231;&#245;e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66675</xdr:rowOff>
    </xdr:from>
    <xdr:to>
      <xdr:col>2</xdr:col>
      <xdr:colOff>447675</xdr:colOff>
      <xdr:row>10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390525" y="390525"/>
          <a:ext cx="1219200" cy="1295400"/>
          <a:chOff x="3473450" y="368300"/>
          <a:chExt cx="1187450" cy="1270000"/>
        </a:xfrm>
        <a:solidFill>
          <a:srgbClr val="FFFFFF"/>
        </a:solidFill>
      </xdr:grpSpPr>
      <xdr:sp>
        <xdr:nvSpPr>
          <xdr:cNvPr id="2" name="Hexágono 2"/>
          <xdr:cNvSpPr>
            <a:spLocks/>
          </xdr:cNvSpPr>
        </xdr:nvSpPr>
        <xdr:spPr>
          <a:xfrm rot="5400000">
            <a:off x="3391220" y="4508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558353" y="592138"/>
            <a:ext cx="885244" cy="873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Cálculos de áreas</a:t>
            </a:r>
          </a:p>
        </xdr:txBody>
      </xdr:sp>
    </xdr:grpSp>
    <xdr:clientData/>
  </xdr:twoCellAnchor>
  <xdr:twoCellAnchor>
    <xdr:from>
      <xdr:col>2</xdr:col>
      <xdr:colOff>381000</xdr:colOff>
      <xdr:row>2</xdr:row>
      <xdr:rowOff>85725</xdr:rowOff>
    </xdr:from>
    <xdr:to>
      <xdr:col>4</xdr:col>
      <xdr:colOff>352425</xdr:colOff>
      <xdr:row>10</xdr:row>
      <xdr:rowOff>76200</xdr:rowOff>
    </xdr:to>
    <xdr:grpSp>
      <xdr:nvGrpSpPr>
        <xdr:cNvPr id="4" name="Grupo 4">
          <a:hlinkClick r:id="rId1"/>
        </xdr:cNvPr>
        <xdr:cNvGrpSpPr>
          <a:grpSpLocks/>
        </xdr:cNvGrpSpPr>
      </xdr:nvGrpSpPr>
      <xdr:grpSpPr>
        <a:xfrm>
          <a:off x="1543050" y="409575"/>
          <a:ext cx="1133475" cy="1285875"/>
          <a:chOff x="2041653" y="736600"/>
          <a:chExt cx="1187450" cy="1270000"/>
        </a:xfrm>
        <a:solidFill>
          <a:srgbClr val="FFFFFF"/>
        </a:solidFill>
      </xdr:grpSpPr>
      <xdr:sp>
        <xdr:nvSpPr>
          <xdr:cNvPr id="5" name="Hexágono 5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211755" y="931545"/>
            <a:ext cx="765015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Rosca</a:t>
            </a:r>
          </a:p>
        </xdr:txBody>
      </xdr:sp>
    </xdr:grpSp>
    <xdr:clientData/>
  </xdr:twoCellAnchor>
  <xdr:twoCellAnchor>
    <xdr:from>
      <xdr:col>3</xdr:col>
      <xdr:colOff>333375</xdr:colOff>
      <xdr:row>8</xdr:row>
      <xdr:rowOff>133350</xdr:rowOff>
    </xdr:from>
    <xdr:to>
      <xdr:col>5</xdr:col>
      <xdr:colOff>295275</xdr:colOff>
      <xdr:row>16</xdr:row>
      <xdr:rowOff>133350</xdr:rowOff>
    </xdr:to>
    <xdr:grpSp>
      <xdr:nvGrpSpPr>
        <xdr:cNvPr id="7" name="Grupo 7">
          <a:hlinkClick r:id="rId2"/>
        </xdr:cNvPr>
        <xdr:cNvGrpSpPr>
          <a:grpSpLocks/>
        </xdr:cNvGrpSpPr>
      </xdr:nvGrpSpPr>
      <xdr:grpSpPr>
        <a:xfrm>
          <a:off x="2076450" y="1428750"/>
          <a:ext cx="1123950" cy="1295400"/>
          <a:chOff x="3467100" y="393700"/>
          <a:chExt cx="1189277" cy="1270000"/>
        </a:xfrm>
        <a:solidFill>
          <a:srgbClr val="FFFFFF"/>
        </a:solidFill>
      </xdr:grpSpPr>
      <xdr:sp>
        <xdr:nvSpPr>
          <xdr:cNvPr id="8" name="Hexágono 8"/>
          <xdr:cNvSpPr>
            <a:spLocks/>
          </xdr:cNvSpPr>
        </xdr:nvSpPr>
        <xdr:spPr>
          <a:xfrm rot="5400000">
            <a:off x="3386527" y="474345"/>
            <a:ext cx="1270148" cy="110871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3467100" y="588645"/>
            <a:ext cx="1123867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Sextavado Superior e Lateral</a:t>
            </a:r>
          </a:p>
        </xdr:txBody>
      </xdr:sp>
    </xdr:grpSp>
    <xdr:clientData/>
  </xdr:twoCellAnchor>
  <xdr:twoCellAnchor>
    <xdr:from>
      <xdr:col>4</xdr:col>
      <xdr:colOff>285750</xdr:colOff>
      <xdr:row>2</xdr:row>
      <xdr:rowOff>85725</xdr:rowOff>
    </xdr:from>
    <xdr:to>
      <xdr:col>6</xdr:col>
      <xdr:colOff>257175</xdr:colOff>
      <xdr:row>10</xdr:row>
      <xdr:rowOff>76200</xdr:rowOff>
    </xdr:to>
    <xdr:grpSp>
      <xdr:nvGrpSpPr>
        <xdr:cNvPr id="10" name="Grupo 10">
          <a:hlinkClick r:id="rId3"/>
        </xdr:cNvPr>
        <xdr:cNvGrpSpPr>
          <a:grpSpLocks/>
        </xdr:cNvGrpSpPr>
      </xdr:nvGrpSpPr>
      <xdr:grpSpPr>
        <a:xfrm>
          <a:off x="2609850" y="409575"/>
          <a:ext cx="1133475" cy="1285875"/>
          <a:chOff x="2041653" y="736600"/>
          <a:chExt cx="1187450" cy="1270000"/>
        </a:xfrm>
        <a:solidFill>
          <a:srgbClr val="FFFFFF"/>
        </a:solidFill>
      </xdr:grpSpPr>
      <xdr:sp>
        <xdr:nvSpPr>
          <xdr:cNvPr id="11" name="Hexágono 11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Hexágono 4"/>
          <xdr:cNvSpPr>
            <a:spLocks/>
          </xdr:cNvSpPr>
        </xdr:nvSpPr>
        <xdr:spPr>
          <a:xfrm>
            <a:off x="2041653" y="931545"/>
            <a:ext cx="1074049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Cilindro</a:t>
            </a:r>
          </a:p>
        </xdr:txBody>
      </xdr:sp>
    </xdr:grpSp>
    <xdr:clientData/>
  </xdr:twoCellAnchor>
  <xdr:twoCellAnchor>
    <xdr:from>
      <xdr:col>5</xdr:col>
      <xdr:colOff>228600</xdr:colOff>
      <xdr:row>8</xdr:row>
      <xdr:rowOff>133350</xdr:rowOff>
    </xdr:from>
    <xdr:to>
      <xdr:col>7</xdr:col>
      <xdr:colOff>190500</xdr:colOff>
      <xdr:row>16</xdr:row>
      <xdr:rowOff>133350</xdr:rowOff>
    </xdr:to>
    <xdr:grpSp>
      <xdr:nvGrpSpPr>
        <xdr:cNvPr id="13" name="Grupo 13">
          <a:hlinkClick r:id="rId4"/>
        </xdr:cNvPr>
        <xdr:cNvGrpSpPr>
          <a:grpSpLocks/>
        </xdr:cNvGrpSpPr>
      </xdr:nvGrpSpPr>
      <xdr:grpSpPr>
        <a:xfrm>
          <a:off x="3133725" y="1428750"/>
          <a:ext cx="1123950" cy="1295400"/>
          <a:chOff x="3467100" y="393700"/>
          <a:chExt cx="1187450" cy="1270000"/>
        </a:xfrm>
        <a:solidFill>
          <a:srgbClr val="FFFFFF"/>
        </a:solidFill>
      </xdr:grpSpPr>
      <xdr:sp>
        <xdr:nvSpPr>
          <xdr:cNvPr id="14" name="Hexágono 14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Hexágono 4"/>
          <xdr:cNvSpPr>
            <a:spLocks/>
          </xdr:cNvSpPr>
        </xdr:nvSpPr>
        <xdr:spPr>
          <a:xfrm>
            <a:off x="3505692" y="588645"/>
            <a:ext cx="1058612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Porca Sextavada</a:t>
            </a:r>
          </a:p>
        </xdr:txBody>
      </xdr:sp>
    </xdr:grpSp>
    <xdr:clientData/>
  </xdr:twoCellAnchor>
  <xdr:twoCellAnchor>
    <xdr:from>
      <xdr:col>6</xdr:col>
      <xdr:colOff>180975</xdr:colOff>
      <xdr:row>2</xdr:row>
      <xdr:rowOff>85725</xdr:rowOff>
    </xdr:from>
    <xdr:to>
      <xdr:col>8</xdr:col>
      <xdr:colOff>152400</xdr:colOff>
      <xdr:row>10</xdr:row>
      <xdr:rowOff>85725</xdr:rowOff>
    </xdr:to>
    <xdr:grpSp>
      <xdr:nvGrpSpPr>
        <xdr:cNvPr id="16" name="Grupo 16">
          <a:hlinkClick r:id="rId5"/>
        </xdr:cNvPr>
        <xdr:cNvGrpSpPr>
          <a:grpSpLocks/>
        </xdr:cNvGrpSpPr>
      </xdr:nvGrpSpPr>
      <xdr:grpSpPr>
        <a:xfrm>
          <a:off x="3667125" y="409575"/>
          <a:ext cx="1133475" cy="1295400"/>
          <a:chOff x="2041653" y="736600"/>
          <a:chExt cx="1187450" cy="1270000"/>
        </a:xfrm>
        <a:solidFill>
          <a:srgbClr val="FFFFFF"/>
        </a:solidFill>
      </xdr:grpSpPr>
      <xdr:sp>
        <xdr:nvSpPr>
          <xdr:cNvPr id="17" name="Hexágono 17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Hexágono 4"/>
          <xdr:cNvSpPr>
            <a:spLocks/>
          </xdr:cNvSpPr>
        </xdr:nvSpPr>
        <xdr:spPr>
          <a:xfrm>
            <a:off x="2180585" y="931545"/>
            <a:ext cx="849917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Flange</a:t>
            </a:r>
          </a:p>
        </xdr:txBody>
      </xdr:sp>
    </xdr:grpSp>
    <xdr:clientData/>
  </xdr:twoCellAnchor>
  <xdr:twoCellAnchor>
    <xdr:from>
      <xdr:col>7</xdr:col>
      <xdr:colOff>133350</xdr:colOff>
      <xdr:row>8</xdr:row>
      <xdr:rowOff>133350</xdr:rowOff>
    </xdr:from>
    <xdr:to>
      <xdr:col>9</xdr:col>
      <xdr:colOff>95250</xdr:colOff>
      <xdr:row>16</xdr:row>
      <xdr:rowOff>133350</xdr:rowOff>
    </xdr:to>
    <xdr:grpSp>
      <xdr:nvGrpSpPr>
        <xdr:cNvPr id="19" name="Grupo 19">
          <a:hlinkClick r:id="rId6"/>
        </xdr:cNvPr>
        <xdr:cNvGrpSpPr>
          <a:grpSpLocks/>
        </xdr:cNvGrpSpPr>
      </xdr:nvGrpSpPr>
      <xdr:grpSpPr>
        <a:xfrm>
          <a:off x="4200525" y="1428750"/>
          <a:ext cx="1123950" cy="1295400"/>
          <a:chOff x="3467100" y="393700"/>
          <a:chExt cx="1187450" cy="1270000"/>
        </a:xfrm>
        <a:solidFill>
          <a:srgbClr val="FFFFFF"/>
        </a:solidFill>
      </xdr:grpSpPr>
      <xdr:sp>
        <xdr:nvSpPr>
          <xdr:cNvPr id="20" name="Hexágono 20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Hexágono 4"/>
          <xdr:cNvSpPr>
            <a:spLocks/>
          </xdr:cNvSpPr>
        </xdr:nvSpPr>
        <xdr:spPr>
          <a:xfrm>
            <a:off x="3521129" y="588645"/>
            <a:ext cx="1004583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Arruela Pressão</a:t>
            </a:r>
          </a:p>
        </xdr:txBody>
      </xdr:sp>
    </xdr:grpSp>
    <xdr:clientData/>
  </xdr:twoCellAnchor>
  <xdr:twoCellAnchor>
    <xdr:from>
      <xdr:col>8</xdr:col>
      <xdr:colOff>76200</xdr:colOff>
      <xdr:row>2</xdr:row>
      <xdr:rowOff>95250</xdr:rowOff>
    </xdr:from>
    <xdr:to>
      <xdr:col>10</xdr:col>
      <xdr:colOff>38100</xdr:colOff>
      <xdr:row>10</xdr:row>
      <xdr:rowOff>95250</xdr:rowOff>
    </xdr:to>
    <xdr:grpSp>
      <xdr:nvGrpSpPr>
        <xdr:cNvPr id="22" name="Grupo 22">
          <a:hlinkClick r:id="rId7"/>
        </xdr:cNvPr>
        <xdr:cNvGrpSpPr>
          <a:grpSpLocks/>
        </xdr:cNvGrpSpPr>
      </xdr:nvGrpSpPr>
      <xdr:grpSpPr>
        <a:xfrm>
          <a:off x="4724400" y="419100"/>
          <a:ext cx="1123950" cy="1295400"/>
          <a:chOff x="2041653" y="736600"/>
          <a:chExt cx="1187450" cy="1270000"/>
        </a:xfrm>
        <a:solidFill>
          <a:srgbClr val="FFFFFF"/>
        </a:solidFill>
      </xdr:grpSpPr>
      <xdr:sp>
        <xdr:nvSpPr>
          <xdr:cNvPr id="23" name="Hexágono 23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Hexágono 4"/>
          <xdr:cNvSpPr>
            <a:spLocks/>
          </xdr:cNvSpPr>
        </xdr:nvSpPr>
        <xdr:spPr>
          <a:xfrm>
            <a:off x="2072527" y="931545"/>
            <a:ext cx="1050893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Arruela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142875</xdr:rowOff>
    </xdr:from>
    <xdr:to>
      <xdr:col>10</xdr:col>
      <xdr:colOff>561975</xdr:colOff>
      <xdr:row>16</xdr:row>
      <xdr:rowOff>142875</xdr:rowOff>
    </xdr:to>
    <xdr:grpSp>
      <xdr:nvGrpSpPr>
        <xdr:cNvPr id="25" name="Grupo 25">
          <a:hlinkClick r:id="rId8"/>
        </xdr:cNvPr>
        <xdr:cNvGrpSpPr>
          <a:grpSpLocks/>
        </xdr:cNvGrpSpPr>
      </xdr:nvGrpSpPr>
      <xdr:grpSpPr>
        <a:xfrm>
          <a:off x="5248275" y="1438275"/>
          <a:ext cx="1123950" cy="1295400"/>
          <a:chOff x="3467100" y="393700"/>
          <a:chExt cx="1187450" cy="1270000"/>
        </a:xfrm>
        <a:solidFill>
          <a:srgbClr val="FFFFFF"/>
        </a:solidFill>
      </xdr:grpSpPr>
      <xdr:sp>
        <xdr:nvSpPr>
          <xdr:cNvPr id="26" name="Hexágono 26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Hexágono 4"/>
          <xdr:cNvSpPr>
            <a:spLocks/>
          </xdr:cNvSpPr>
        </xdr:nvSpPr>
        <xdr:spPr>
          <a:xfrm>
            <a:off x="3637202" y="588645"/>
            <a:ext cx="765015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Chapa Aço</a:t>
            </a:r>
          </a:p>
        </xdr:txBody>
      </xdr:sp>
    </xdr:grpSp>
    <xdr:clientData/>
  </xdr:twoCellAnchor>
  <xdr:twoCellAnchor>
    <xdr:from>
      <xdr:col>9</xdr:col>
      <xdr:colOff>533400</xdr:colOff>
      <xdr:row>2</xdr:row>
      <xdr:rowOff>114300</xdr:rowOff>
    </xdr:from>
    <xdr:to>
      <xdr:col>11</xdr:col>
      <xdr:colOff>504825</xdr:colOff>
      <xdr:row>10</xdr:row>
      <xdr:rowOff>114300</xdr:rowOff>
    </xdr:to>
    <xdr:grpSp>
      <xdr:nvGrpSpPr>
        <xdr:cNvPr id="28" name="Grupo 28">
          <a:hlinkClick r:id="rId9"/>
        </xdr:cNvPr>
        <xdr:cNvGrpSpPr>
          <a:grpSpLocks/>
        </xdr:cNvGrpSpPr>
      </xdr:nvGrpSpPr>
      <xdr:grpSpPr>
        <a:xfrm>
          <a:off x="5762625" y="438150"/>
          <a:ext cx="1133475" cy="1295400"/>
          <a:chOff x="2041653" y="736600"/>
          <a:chExt cx="1187450" cy="1270000"/>
        </a:xfrm>
        <a:solidFill>
          <a:srgbClr val="FFFFFF"/>
        </a:solidFill>
      </xdr:grpSpPr>
      <xdr:sp>
        <xdr:nvSpPr>
          <xdr:cNvPr id="29" name="Hexágono 29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Hexágono 4"/>
          <xdr:cNvSpPr>
            <a:spLocks/>
          </xdr:cNvSpPr>
        </xdr:nvSpPr>
        <xdr:spPr>
          <a:xfrm>
            <a:off x="2072527" y="931545"/>
            <a:ext cx="1058612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Rebaixo</a:t>
            </a:r>
          </a:p>
        </xdr:txBody>
      </xdr:sp>
    </xdr:grpSp>
    <xdr:clientData/>
  </xdr:twoCellAnchor>
  <xdr:twoCellAnchor>
    <xdr:from>
      <xdr:col>10</xdr:col>
      <xdr:colOff>466725</xdr:colOff>
      <xdr:row>8</xdr:row>
      <xdr:rowOff>152400</xdr:rowOff>
    </xdr:from>
    <xdr:to>
      <xdr:col>12</xdr:col>
      <xdr:colOff>447675</xdr:colOff>
      <xdr:row>16</xdr:row>
      <xdr:rowOff>152400</xdr:rowOff>
    </xdr:to>
    <xdr:grpSp>
      <xdr:nvGrpSpPr>
        <xdr:cNvPr id="31" name="Grupo 31">
          <a:hlinkClick r:id="rId10"/>
        </xdr:cNvPr>
        <xdr:cNvGrpSpPr>
          <a:grpSpLocks/>
        </xdr:cNvGrpSpPr>
      </xdr:nvGrpSpPr>
      <xdr:grpSpPr>
        <a:xfrm>
          <a:off x="6276975" y="1447800"/>
          <a:ext cx="1143000" cy="1295400"/>
          <a:chOff x="3448780" y="393700"/>
          <a:chExt cx="1203471" cy="1270000"/>
        </a:xfrm>
        <a:solidFill>
          <a:srgbClr val="FFFFFF"/>
        </a:solidFill>
      </xdr:grpSpPr>
      <xdr:sp>
        <xdr:nvSpPr>
          <xdr:cNvPr id="32" name="Hexágono 32"/>
          <xdr:cNvSpPr>
            <a:spLocks/>
          </xdr:cNvSpPr>
        </xdr:nvSpPr>
        <xdr:spPr>
          <a:xfrm rot="5400000">
            <a:off x="3382590" y="475615"/>
            <a:ext cx="1269963" cy="110617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Hexágono 4"/>
          <xdr:cNvSpPr>
            <a:spLocks/>
          </xdr:cNvSpPr>
        </xdr:nvSpPr>
        <xdr:spPr>
          <a:xfrm>
            <a:off x="3448780" y="588645"/>
            <a:ext cx="1167668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Porca Quadrada</a:t>
            </a:r>
          </a:p>
        </xdr:txBody>
      </xdr:sp>
    </xdr:grpSp>
    <xdr:clientData/>
  </xdr:twoCellAnchor>
  <xdr:twoCellAnchor>
    <xdr:from>
      <xdr:col>11</xdr:col>
      <xdr:colOff>428625</xdr:colOff>
      <xdr:row>2</xdr:row>
      <xdr:rowOff>104775</xdr:rowOff>
    </xdr:from>
    <xdr:to>
      <xdr:col>13</xdr:col>
      <xdr:colOff>390525</xdr:colOff>
      <xdr:row>10</xdr:row>
      <xdr:rowOff>104775</xdr:rowOff>
    </xdr:to>
    <xdr:grpSp>
      <xdr:nvGrpSpPr>
        <xdr:cNvPr id="34" name="Grupo 34">
          <a:hlinkClick r:id="rId11"/>
        </xdr:cNvPr>
        <xdr:cNvGrpSpPr>
          <a:grpSpLocks/>
        </xdr:cNvGrpSpPr>
      </xdr:nvGrpSpPr>
      <xdr:grpSpPr>
        <a:xfrm>
          <a:off x="6819900" y="428625"/>
          <a:ext cx="1123950" cy="1295400"/>
          <a:chOff x="2041653" y="736600"/>
          <a:chExt cx="1187450" cy="1270000"/>
        </a:xfrm>
        <a:solidFill>
          <a:srgbClr val="FFFFFF"/>
        </a:solidFill>
      </xdr:grpSpPr>
      <xdr:sp>
        <xdr:nvSpPr>
          <xdr:cNvPr id="35" name="Hexágono 35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Hexágono 4"/>
          <xdr:cNvSpPr>
            <a:spLocks/>
          </xdr:cNvSpPr>
        </xdr:nvSpPr>
        <xdr:spPr>
          <a:xfrm>
            <a:off x="2211755" y="931545"/>
            <a:ext cx="765015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Fio Aço</a:t>
            </a:r>
          </a:p>
        </xdr:txBody>
      </xdr:sp>
    </xdr:grpSp>
    <xdr:clientData/>
  </xdr:twoCellAnchor>
  <xdr:twoCellAnchor>
    <xdr:from>
      <xdr:col>9</xdr:col>
      <xdr:colOff>514350</xdr:colOff>
      <xdr:row>15</xdr:row>
      <xdr:rowOff>28575</xdr:rowOff>
    </xdr:from>
    <xdr:to>
      <xdr:col>11</xdr:col>
      <xdr:colOff>485775</xdr:colOff>
      <xdr:row>23</xdr:row>
      <xdr:rowOff>28575</xdr:rowOff>
    </xdr:to>
    <xdr:grpSp>
      <xdr:nvGrpSpPr>
        <xdr:cNvPr id="37" name="Grupo 37">
          <a:hlinkClick r:id="rId12"/>
        </xdr:cNvPr>
        <xdr:cNvGrpSpPr>
          <a:grpSpLocks/>
        </xdr:cNvGrpSpPr>
      </xdr:nvGrpSpPr>
      <xdr:grpSpPr>
        <a:xfrm>
          <a:off x="5743575" y="2457450"/>
          <a:ext cx="1133475" cy="1295400"/>
          <a:chOff x="3464166" y="393700"/>
          <a:chExt cx="1188916" cy="1270000"/>
        </a:xfrm>
        <a:solidFill>
          <a:srgbClr val="FFFFFF"/>
        </a:solidFill>
      </xdr:grpSpPr>
      <xdr:sp>
        <xdr:nvSpPr>
          <xdr:cNvPr id="38" name="Hexágono 38"/>
          <xdr:cNvSpPr>
            <a:spLocks/>
          </xdr:cNvSpPr>
        </xdr:nvSpPr>
        <xdr:spPr>
          <a:xfrm rot="5400000">
            <a:off x="3383321" y="474663"/>
            <a:ext cx="1270060" cy="1107758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Hexágono 4"/>
          <xdr:cNvSpPr>
            <a:spLocks/>
          </xdr:cNvSpPr>
        </xdr:nvSpPr>
        <xdr:spPr>
          <a:xfrm>
            <a:off x="3471894" y="588645"/>
            <a:ext cx="1107772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Chapa Lisa
</a:t>
            </a:r>
            <a:r>
              <a:rPr lang="en-US" cap="none" sz="1600" b="0" i="0" u="none" baseline="0">
                <a:solidFill>
                  <a:srgbClr val="FFFFFF"/>
                </a:solidFill>
              </a:rPr>
              <a:t>1 Lado </a:t>
            </a:r>
          </a:p>
        </xdr:txBody>
      </xdr:sp>
    </xdr:grpSp>
    <xdr:clientData/>
  </xdr:twoCellAnchor>
  <xdr:twoCellAnchor>
    <xdr:from>
      <xdr:col>5</xdr:col>
      <xdr:colOff>180975</xdr:colOff>
      <xdr:row>21</xdr:row>
      <xdr:rowOff>9525</xdr:rowOff>
    </xdr:from>
    <xdr:to>
      <xdr:col>7</xdr:col>
      <xdr:colOff>161925</xdr:colOff>
      <xdr:row>29</xdr:row>
      <xdr:rowOff>9525</xdr:rowOff>
    </xdr:to>
    <xdr:grpSp>
      <xdr:nvGrpSpPr>
        <xdr:cNvPr id="40" name="Grupo 40">
          <a:hlinkClick r:id="rId13"/>
        </xdr:cNvPr>
        <xdr:cNvGrpSpPr>
          <a:grpSpLocks/>
        </xdr:cNvGrpSpPr>
      </xdr:nvGrpSpPr>
      <xdr:grpSpPr>
        <a:xfrm>
          <a:off x="3086100" y="3409950"/>
          <a:ext cx="1143000" cy="1295400"/>
          <a:chOff x="3448780" y="393700"/>
          <a:chExt cx="1203369" cy="1270000"/>
        </a:xfrm>
        <a:solidFill>
          <a:srgbClr val="FFFFFF"/>
        </a:solidFill>
      </xdr:grpSpPr>
      <xdr:sp>
        <xdr:nvSpPr>
          <xdr:cNvPr id="41" name="Hexágono 41"/>
          <xdr:cNvSpPr>
            <a:spLocks/>
          </xdr:cNvSpPr>
        </xdr:nvSpPr>
        <xdr:spPr>
          <a:xfrm rot="5400000">
            <a:off x="3382596" y="475933"/>
            <a:ext cx="1269855" cy="1105853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Hexágono 4"/>
          <xdr:cNvSpPr>
            <a:spLocks/>
          </xdr:cNvSpPr>
        </xdr:nvSpPr>
        <xdr:spPr>
          <a:xfrm>
            <a:off x="3448780" y="588645"/>
            <a:ext cx="1167569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Cone</a:t>
            </a:r>
          </a:p>
        </xdr:txBody>
      </xdr:sp>
    </xdr:grpSp>
    <xdr:clientData/>
  </xdr:twoCellAnchor>
  <xdr:twoCellAnchor>
    <xdr:from>
      <xdr:col>11</xdr:col>
      <xdr:colOff>390525</xdr:colOff>
      <xdr:row>15</xdr:row>
      <xdr:rowOff>28575</xdr:rowOff>
    </xdr:from>
    <xdr:to>
      <xdr:col>13</xdr:col>
      <xdr:colOff>371475</xdr:colOff>
      <xdr:row>23</xdr:row>
      <xdr:rowOff>28575</xdr:rowOff>
    </xdr:to>
    <xdr:grpSp>
      <xdr:nvGrpSpPr>
        <xdr:cNvPr id="43" name="Grupo 43">
          <a:hlinkClick r:id="rId14"/>
        </xdr:cNvPr>
        <xdr:cNvGrpSpPr>
          <a:grpSpLocks/>
        </xdr:cNvGrpSpPr>
      </xdr:nvGrpSpPr>
      <xdr:grpSpPr>
        <a:xfrm>
          <a:off x="6781800" y="2457450"/>
          <a:ext cx="1143000" cy="1295400"/>
          <a:chOff x="3448780" y="393700"/>
          <a:chExt cx="1203471" cy="1270000"/>
        </a:xfrm>
        <a:solidFill>
          <a:srgbClr val="FFFFFF"/>
        </a:solidFill>
      </xdr:grpSpPr>
      <xdr:sp>
        <xdr:nvSpPr>
          <xdr:cNvPr id="44" name="Hexágono 44"/>
          <xdr:cNvSpPr>
            <a:spLocks/>
          </xdr:cNvSpPr>
        </xdr:nvSpPr>
        <xdr:spPr>
          <a:xfrm rot="5400000">
            <a:off x="3382590" y="475615"/>
            <a:ext cx="1269963" cy="110617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Hexágono 4"/>
          <xdr:cNvSpPr>
            <a:spLocks/>
          </xdr:cNvSpPr>
        </xdr:nvSpPr>
        <xdr:spPr>
          <a:xfrm>
            <a:off x="3448780" y="588645"/>
            <a:ext cx="1167668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Sextavado Superior</a:t>
            </a:r>
          </a:p>
        </xdr:txBody>
      </xdr:sp>
    </xdr:grpSp>
    <xdr:clientData/>
  </xdr:twoCellAnchor>
  <xdr:twoCellAnchor>
    <xdr:from>
      <xdr:col>8</xdr:col>
      <xdr:colOff>47625</xdr:colOff>
      <xdr:row>15</xdr:row>
      <xdr:rowOff>28575</xdr:rowOff>
    </xdr:from>
    <xdr:to>
      <xdr:col>10</xdr:col>
      <xdr:colOff>38100</xdr:colOff>
      <xdr:row>23</xdr:row>
      <xdr:rowOff>28575</xdr:rowOff>
    </xdr:to>
    <xdr:grpSp>
      <xdr:nvGrpSpPr>
        <xdr:cNvPr id="46" name="Grupo 46">
          <a:hlinkClick r:id="rId15"/>
        </xdr:cNvPr>
        <xdr:cNvGrpSpPr>
          <a:grpSpLocks/>
        </xdr:cNvGrpSpPr>
      </xdr:nvGrpSpPr>
      <xdr:grpSpPr>
        <a:xfrm>
          <a:off x="4695825" y="2457450"/>
          <a:ext cx="1152525" cy="1295400"/>
          <a:chOff x="3448780" y="393700"/>
          <a:chExt cx="1203471" cy="1270000"/>
        </a:xfrm>
        <a:solidFill>
          <a:srgbClr val="FFFFFF"/>
        </a:solidFill>
      </xdr:grpSpPr>
      <xdr:sp>
        <xdr:nvSpPr>
          <xdr:cNvPr id="47" name="Hexágono 47"/>
          <xdr:cNvSpPr>
            <a:spLocks/>
          </xdr:cNvSpPr>
        </xdr:nvSpPr>
        <xdr:spPr>
          <a:xfrm rot="5400000">
            <a:off x="3382590" y="475615"/>
            <a:ext cx="1269963" cy="110617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Hexágono 4"/>
          <xdr:cNvSpPr>
            <a:spLocks/>
          </xdr:cNvSpPr>
        </xdr:nvSpPr>
        <xdr:spPr>
          <a:xfrm>
            <a:off x="3448780" y="588645"/>
            <a:ext cx="1167668" cy="873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Chapa Lisa</a:t>
            </a:r>
            <a:r>
              <a:rPr lang="en-US" cap="none" sz="16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600" b="0" i="0" u="none" baseline="0">
                <a:solidFill>
                  <a:srgbClr val="FFFFFF"/>
                </a:solidFill>
              </a:rPr>
              <a:t>Frente e Verso</a:t>
            </a:r>
          </a:p>
        </xdr:txBody>
      </xdr:sp>
    </xdr:grpSp>
    <xdr:clientData/>
  </xdr:twoCellAnchor>
  <xdr:twoCellAnchor>
    <xdr:from>
      <xdr:col>6</xdr:col>
      <xdr:colOff>152400</xdr:colOff>
      <xdr:row>15</xdr:row>
      <xdr:rowOff>19050</xdr:rowOff>
    </xdr:from>
    <xdr:to>
      <xdr:col>8</xdr:col>
      <xdr:colOff>142875</xdr:colOff>
      <xdr:row>23</xdr:row>
      <xdr:rowOff>19050</xdr:rowOff>
    </xdr:to>
    <xdr:grpSp>
      <xdr:nvGrpSpPr>
        <xdr:cNvPr id="49" name="Grupo 49">
          <a:hlinkClick r:id="rId16"/>
        </xdr:cNvPr>
        <xdr:cNvGrpSpPr>
          <a:grpSpLocks/>
        </xdr:cNvGrpSpPr>
      </xdr:nvGrpSpPr>
      <xdr:grpSpPr>
        <a:xfrm>
          <a:off x="3638550" y="2447925"/>
          <a:ext cx="1152525" cy="1295400"/>
          <a:chOff x="3448780" y="393700"/>
          <a:chExt cx="1203471" cy="1270000"/>
        </a:xfrm>
        <a:solidFill>
          <a:srgbClr val="FFFFFF"/>
        </a:solidFill>
      </xdr:grpSpPr>
      <xdr:sp>
        <xdr:nvSpPr>
          <xdr:cNvPr id="50" name="Hexágono 50"/>
          <xdr:cNvSpPr>
            <a:spLocks/>
          </xdr:cNvSpPr>
        </xdr:nvSpPr>
        <xdr:spPr>
          <a:xfrm rot="5400000">
            <a:off x="3382590" y="475615"/>
            <a:ext cx="1269963" cy="110617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Hexágono 4"/>
          <xdr:cNvSpPr>
            <a:spLocks/>
          </xdr:cNvSpPr>
        </xdr:nvSpPr>
        <xdr:spPr>
          <a:xfrm>
            <a:off x="3448780" y="588645"/>
            <a:ext cx="1167668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Sextavado Lateral</a:t>
            </a:r>
          </a:p>
        </xdr:txBody>
      </xdr:sp>
    </xdr:grpSp>
    <xdr:clientData/>
  </xdr:twoCellAnchor>
  <xdr:twoCellAnchor>
    <xdr:from>
      <xdr:col>4</xdr:col>
      <xdr:colOff>257175</xdr:colOff>
      <xdr:row>15</xdr:row>
      <xdr:rowOff>19050</xdr:rowOff>
    </xdr:from>
    <xdr:to>
      <xdr:col>6</xdr:col>
      <xdr:colOff>238125</xdr:colOff>
      <xdr:row>23</xdr:row>
      <xdr:rowOff>19050</xdr:rowOff>
    </xdr:to>
    <xdr:grpSp>
      <xdr:nvGrpSpPr>
        <xdr:cNvPr id="52" name="Grupo 52">
          <a:hlinkClick r:id="rId17"/>
        </xdr:cNvPr>
        <xdr:cNvGrpSpPr>
          <a:grpSpLocks/>
        </xdr:cNvGrpSpPr>
      </xdr:nvGrpSpPr>
      <xdr:grpSpPr>
        <a:xfrm>
          <a:off x="2581275" y="2447925"/>
          <a:ext cx="1143000" cy="1295400"/>
          <a:chOff x="3448780" y="393700"/>
          <a:chExt cx="1203471" cy="1270000"/>
        </a:xfrm>
        <a:solidFill>
          <a:srgbClr val="FFFFFF"/>
        </a:solidFill>
      </xdr:grpSpPr>
      <xdr:sp>
        <xdr:nvSpPr>
          <xdr:cNvPr id="53" name="Hexágono 53"/>
          <xdr:cNvSpPr>
            <a:spLocks/>
          </xdr:cNvSpPr>
        </xdr:nvSpPr>
        <xdr:spPr>
          <a:xfrm rot="5400000">
            <a:off x="3382590" y="475615"/>
            <a:ext cx="1269963" cy="110617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Hexágono 4"/>
          <xdr:cNvSpPr>
            <a:spLocks/>
          </xdr:cNvSpPr>
        </xdr:nvSpPr>
        <xdr:spPr>
          <a:xfrm>
            <a:off x="3448780" y="588645"/>
            <a:ext cx="1167668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Circulo</a:t>
            </a:r>
          </a:p>
        </xdr:txBody>
      </xdr:sp>
    </xdr:grpSp>
    <xdr:clientData/>
  </xdr:twoCellAnchor>
  <xdr:twoCellAnchor>
    <xdr:from>
      <xdr:col>12</xdr:col>
      <xdr:colOff>342900</xdr:colOff>
      <xdr:row>8</xdr:row>
      <xdr:rowOff>142875</xdr:rowOff>
    </xdr:from>
    <xdr:to>
      <xdr:col>14</xdr:col>
      <xdr:colOff>323850</xdr:colOff>
      <xdr:row>16</xdr:row>
      <xdr:rowOff>142875</xdr:rowOff>
    </xdr:to>
    <xdr:grpSp>
      <xdr:nvGrpSpPr>
        <xdr:cNvPr id="55" name="Grupo 55">
          <a:hlinkClick r:id="rId18"/>
        </xdr:cNvPr>
        <xdr:cNvGrpSpPr>
          <a:grpSpLocks/>
        </xdr:cNvGrpSpPr>
      </xdr:nvGrpSpPr>
      <xdr:grpSpPr>
        <a:xfrm>
          <a:off x="7315200" y="1438275"/>
          <a:ext cx="1143000" cy="1295400"/>
          <a:chOff x="3448780" y="393700"/>
          <a:chExt cx="1203369" cy="1270000"/>
        </a:xfrm>
        <a:solidFill>
          <a:srgbClr val="FFFFFF"/>
        </a:solidFill>
      </xdr:grpSpPr>
      <xdr:sp>
        <xdr:nvSpPr>
          <xdr:cNvPr id="56" name="Hexágono 56"/>
          <xdr:cNvSpPr>
            <a:spLocks/>
          </xdr:cNvSpPr>
        </xdr:nvSpPr>
        <xdr:spPr>
          <a:xfrm rot="5400000">
            <a:off x="3382596" y="475933"/>
            <a:ext cx="1269855" cy="1105853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Hexágono 4"/>
          <xdr:cNvSpPr>
            <a:spLocks/>
          </xdr:cNvSpPr>
        </xdr:nvSpPr>
        <xdr:spPr>
          <a:xfrm>
            <a:off x="3448780" y="588645"/>
            <a:ext cx="1167569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Circulo</a:t>
            </a:r>
            <a:r>
              <a:rPr lang="en-US" cap="none" sz="16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600" b="0" i="0" u="none" baseline="0">
                <a:solidFill>
                  <a:srgbClr val="FFFFFF"/>
                </a:solidFill>
              </a:rPr>
              <a:t>Frente e Verso</a:t>
            </a:r>
          </a:p>
        </xdr:txBody>
      </xdr:sp>
    </xdr:grpSp>
    <xdr:clientData/>
  </xdr:twoCellAnchor>
  <xdr:twoCellAnchor>
    <xdr:from>
      <xdr:col>7</xdr:col>
      <xdr:colOff>85725</xdr:colOff>
      <xdr:row>21</xdr:row>
      <xdr:rowOff>47625</xdr:rowOff>
    </xdr:from>
    <xdr:to>
      <xdr:col>9</xdr:col>
      <xdr:colOff>57150</xdr:colOff>
      <xdr:row>29</xdr:row>
      <xdr:rowOff>47625</xdr:rowOff>
    </xdr:to>
    <xdr:grpSp>
      <xdr:nvGrpSpPr>
        <xdr:cNvPr id="58" name="Grupo 58">
          <a:hlinkClick r:id="rId19"/>
        </xdr:cNvPr>
        <xdr:cNvGrpSpPr>
          <a:grpSpLocks/>
        </xdr:cNvGrpSpPr>
      </xdr:nvGrpSpPr>
      <xdr:grpSpPr>
        <a:xfrm>
          <a:off x="4152900" y="3448050"/>
          <a:ext cx="1133475" cy="1295400"/>
          <a:chOff x="3448780" y="393700"/>
          <a:chExt cx="1203369" cy="1270000"/>
        </a:xfrm>
        <a:solidFill>
          <a:srgbClr val="FFFFFF"/>
        </a:solidFill>
      </xdr:grpSpPr>
      <xdr:sp>
        <xdr:nvSpPr>
          <xdr:cNvPr id="59" name="Hexágono 59"/>
          <xdr:cNvSpPr>
            <a:spLocks/>
          </xdr:cNvSpPr>
        </xdr:nvSpPr>
        <xdr:spPr>
          <a:xfrm rot="5400000">
            <a:off x="3382596" y="475933"/>
            <a:ext cx="1269855" cy="1105853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Hexágono 4"/>
          <xdr:cNvSpPr>
            <a:spLocks/>
          </xdr:cNvSpPr>
        </xdr:nvSpPr>
        <xdr:spPr>
          <a:xfrm>
            <a:off x="3448780" y="588645"/>
            <a:ext cx="1167569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Somatória Total</a:t>
            </a:r>
          </a:p>
        </xdr:txBody>
      </xdr:sp>
    </xdr:grpSp>
    <xdr:clientData/>
  </xdr:twoCellAnchor>
  <xdr:twoCellAnchor>
    <xdr:from>
      <xdr:col>8</xdr:col>
      <xdr:colOff>561975</xdr:colOff>
      <xdr:row>21</xdr:row>
      <xdr:rowOff>66675</xdr:rowOff>
    </xdr:from>
    <xdr:to>
      <xdr:col>10</xdr:col>
      <xdr:colOff>533400</xdr:colOff>
      <xdr:row>29</xdr:row>
      <xdr:rowOff>66675</xdr:rowOff>
    </xdr:to>
    <xdr:grpSp>
      <xdr:nvGrpSpPr>
        <xdr:cNvPr id="61" name="Grupo 64">
          <a:hlinkClick r:id="rId20"/>
        </xdr:cNvPr>
        <xdr:cNvGrpSpPr>
          <a:grpSpLocks/>
        </xdr:cNvGrpSpPr>
      </xdr:nvGrpSpPr>
      <xdr:grpSpPr>
        <a:xfrm>
          <a:off x="5210175" y="3467100"/>
          <a:ext cx="1133475" cy="1295400"/>
          <a:chOff x="3448780" y="393700"/>
          <a:chExt cx="1203369" cy="1270000"/>
        </a:xfrm>
        <a:solidFill>
          <a:srgbClr val="FFFFFF"/>
        </a:solidFill>
      </xdr:grpSpPr>
      <xdr:sp>
        <xdr:nvSpPr>
          <xdr:cNvPr id="62" name="Hexágono 65"/>
          <xdr:cNvSpPr>
            <a:spLocks/>
          </xdr:cNvSpPr>
        </xdr:nvSpPr>
        <xdr:spPr>
          <a:xfrm rot="5400000">
            <a:off x="3382596" y="475933"/>
            <a:ext cx="1269855" cy="1105853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Hexágono 4">
            <a:hlinkClick r:id="rId21"/>
          </xdr:cNvPr>
          <xdr:cNvSpPr>
            <a:spLocks/>
          </xdr:cNvSpPr>
        </xdr:nvSpPr>
        <xdr:spPr>
          <a:xfrm>
            <a:off x="3448780" y="588645"/>
            <a:ext cx="1167569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Instruções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152400</xdr:rowOff>
    </xdr:from>
    <xdr:to>
      <xdr:col>1</xdr:col>
      <xdr:colOff>466725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57150" y="2209800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390525</xdr:colOff>
      <xdr:row>12</xdr:row>
      <xdr:rowOff>161925</xdr:rowOff>
    </xdr:from>
    <xdr:to>
      <xdr:col>3</xdr:col>
      <xdr:colOff>85725</xdr:colOff>
      <xdr:row>20</xdr:row>
      <xdr:rowOff>57150</xdr:rowOff>
    </xdr:to>
    <xdr:grpSp>
      <xdr:nvGrpSpPr>
        <xdr:cNvPr id="4" name="Grupo 5"/>
        <xdr:cNvGrpSpPr>
          <a:grpSpLocks/>
        </xdr:cNvGrpSpPr>
      </xdr:nvGrpSpPr>
      <xdr:grpSpPr>
        <a:xfrm>
          <a:off x="1104900" y="2219325"/>
          <a:ext cx="1123950" cy="1266825"/>
          <a:chOff x="2041653" y="736600"/>
          <a:chExt cx="118745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111713" y="931228"/>
            <a:ext cx="957085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Chapa Aço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152400</xdr:rowOff>
    </xdr:from>
    <xdr:to>
      <xdr:col>1</xdr:col>
      <xdr:colOff>466725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57150" y="2209800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390525</xdr:colOff>
      <xdr:row>13</xdr:row>
      <xdr:rowOff>0</xdr:rowOff>
    </xdr:from>
    <xdr:to>
      <xdr:col>3</xdr:col>
      <xdr:colOff>85725</xdr:colOff>
      <xdr:row>20</xdr:row>
      <xdr:rowOff>66675</xdr:rowOff>
    </xdr:to>
    <xdr:grpSp>
      <xdr:nvGrpSpPr>
        <xdr:cNvPr id="4" name="Grupo 5"/>
        <xdr:cNvGrpSpPr>
          <a:grpSpLocks/>
        </xdr:cNvGrpSpPr>
      </xdr:nvGrpSpPr>
      <xdr:grpSpPr>
        <a:xfrm>
          <a:off x="1104900" y="2228850"/>
          <a:ext cx="1123950" cy="1266825"/>
          <a:chOff x="2041653" y="736600"/>
          <a:chExt cx="118745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111713" y="931228"/>
            <a:ext cx="957085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Fio
</a:t>
            </a:r>
            <a:r>
              <a:rPr lang="en-US" cap="none" sz="1600" b="0" i="0" u="none" baseline="0">
                <a:solidFill>
                  <a:srgbClr val="FFFFFF"/>
                </a:solidFill>
              </a:rPr>
              <a:t>Aço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152400</xdr:rowOff>
    </xdr:from>
    <xdr:to>
      <xdr:col>1</xdr:col>
      <xdr:colOff>466725</xdr:colOff>
      <xdr:row>20</xdr:row>
      <xdr:rowOff>57150</xdr:rowOff>
    </xdr:to>
    <xdr:grpSp>
      <xdr:nvGrpSpPr>
        <xdr:cNvPr id="1" name="Grupo 8"/>
        <xdr:cNvGrpSpPr>
          <a:grpSpLocks/>
        </xdr:cNvGrpSpPr>
      </xdr:nvGrpSpPr>
      <xdr:grpSpPr>
        <a:xfrm>
          <a:off x="57150" y="2209800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9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304800</xdr:colOff>
      <xdr:row>13</xdr:row>
      <xdr:rowOff>0</xdr:rowOff>
    </xdr:from>
    <xdr:to>
      <xdr:col>3</xdr:col>
      <xdr:colOff>85725</xdr:colOff>
      <xdr:row>20</xdr:row>
      <xdr:rowOff>66675</xdr:rowOff>
    </xdr:to>
    <xdr:grpSp>
      <xdr:nvGrpSpPr>
        <xdr:cNvPr id="4" name="Grupo 11"/>
        <xdr:cNvGrpSpPr>
          <a:grpSpLocks/>
        </xdr:cNvGrpSpPr>
      </xdr:nvGrpSpPr>
      <xdr:grpSpPr>
        <a:xfrm>
          <a:off x="1019175" y="2228850"/>
          <a:ext cx="1209675" cy="1266825"/>
          <a:chOff x="1953483" y="736600"/>
          <a:chExt cx="1273815" cy="1270000"/>
        </a:xfrm>
        <a:solidFill>
          <a:srgbClr val="FFFFFF"/>
        </a:solidFill>
      </xdr:grpSpPr>
      <xdr:sp>
        <xdr:nvSpPr>
          <xdr:cNvPr id="5" name="Hexágono 12"/>
          <xdr:cNvSpPr>
            <a:spLocks/>
          </xdr:cNvSpPr>
        </xdr:nvSpPr>
        <xdr:spPr>
          <a:xfrm rot="5400000">
            <a:off x="1957304" y="817880"/>
            <a:ext cx="1269994" cy="1107123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1953483" y="931228"/>
            <a:ext cx="1231142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Arruela Quadrada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11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152400</xdr:rowOff>
    </xdr:from>
    <xdr:to>
      <xdr:col>1</xdr:col>
      <xdr:colOff>466725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57150" y="2209800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371475</xdr:colOff>
      <xdr:row>12</xdr:row>
      <xdr:rowOff>161925</xdr:rowOff>
    </xdr:from>
    <xdr:to>
      <xdr:col>3</xdr:col>
      <xdr:colOff>85725</xdr:colOff>
      <xdr:row>20</xdr:row>
      <xdr:rowOff>66675</xdr:rowOff>
    </xdr:to>
    <xdr:grpSp>
      <xdr:nvGrpSpPr>
        <xdr:cNvPr id="4" name="Grupo 5"/>
        <xdr:cNvGrpSpPr>
          <a:grpSpLocks/>
        </xdr:cNvGrpSpPr>
      </xdr:nvGrpSpPr>
      <xdr:grpSpPr>
        <a:xfrm>
          <a:off x="1085850" y="2219325"/>
          <a:ext cx="1143000" cy="1276350"/>
          <a:chOff x="2029683" y="736600"/>
          <a:chExt cx="1201191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61216" y="821055"/>
            <a:ext cx="1269959" cy="1101408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029683" y="937895"/>
            <a:ext cx="1093684" cy="867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Circulo</a:t>
            </a:r>
            <a:r>
              <a:rPr lang="en-US" cap="none" sz="1600" b="0" i="0" u="none" baseline="0">
                <a:solidFill>
                  <a:srgbClr val="FFFFFF"/>
                </a:solidFill>
              </a:rPr>
              <a:t> Frente e Verso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152400</xdr:rowOff>
    </xdr:from>
    <xdr:to>
      <xdr:col>1</xdr:col>
      <xdr:colOff>466725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57150" y="2209800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390525</xdr:colOff>
      <xdr:row>13</xdr:row>
      <xdr:rowOff>0</xdr:rowOff>
    </xdr:from>
    <xdr:to>
      <xdr:col>3</xdr:col>
      <xdr:colOff>85725</xdr:colOff>
      <xdr:row>20</xdr:row>
      <xdr:rowOff>66675</xdr:rowOff>
    </xdr:to>
    <xdr:grpSp>
      <xdr:nvGrpSpPr>
        <xdr:cNvPr id="4" name="Grupo 5"/>
        <xdr:cNvGrpSpPr>
          <a:grpSpLocks/>
        </xdr:cNvGrpSpPr>
      </xdr:nvGrpSpPr>
      <xdr:grpSpPr>
        <a:xfrm>
          <a:off x="1104900" y="2228850"/>
          <a:ext cx="1123950" cy="1266825"/>
          <a:chOff x="2041653" y="736600"/>
          <a:chExt cx="118745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111713" y="931228"/>
            <a:ext cx="957085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Circulo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152400</xdr:rowOff>
    </xdr:from>
    <xdr:to>
      <xdr:col>1</xdr:col>
      <xdr:colOff>466725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57150" y="2209800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304800</xdr:colOff>
      <xdr:row>13</xdr:row>
      <xdr:rowOff>0</xdr:rowOff>
    </xdr:from>
    <xdr:to>
      <xdr:col>3</xdr:col>
      <xdr:colOff>76200</xdr:colOff>
      <xdr:row>20</xdr:row>
      <xdr:rowOff>66675</xdr:rowOff>
    </xdr:to>
    <xdr:grpSp>
      <xdr:nvGrpSpPr>
        <xdr:cNvPr id="4" name="Grupo 5"/>
        <xdr:cNvGrpSpPr>
          <a:grpSpLocks/>
        </xdr:cNvGrpSpPr>
      </xdr:nvGrpSpPr>
      <xdr:grpSpPr>
        <a:xfrm>
          <a:off x="1019175" y="2228850"/>
          <a:ext cx="1200150" cy="1266825"/>
          <a:chOff x="1959833" y="736600"/>
          <a:chExt cx="1270066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833" y="822325"/>
            <a:ext cx="1270066" cy="109855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1959833" y="931228"/>
            <a:ext cx="1231011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Sextavado Lateral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152400</xdr:rowOff>
    </xdr:from>
    <xdr:to>
      <xdr:col>1</xdr:col>
      <xdr:colOff>466725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57150" y="2209800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342900</xdr:colOff>
      <xdr:row>13</xdr:row>
      <xdr:rowOff>0</xdr:rowOff>
    </xdr:from>
    <xdr:to>
      <xdr:col>3</xdr:col>
      <xdr:colOff>76200</xdr:colOff>
      <xdr:row>20</xdr:row>
      <xdr:rowOff>66675</xdr:rowOff>
    </xdr:to>
    <xdr:grpSp>
      <xdr:nvGrpSpPr>
        <xdr:cNvPr id="4" name="Grupo 5"/>
        <xdr:cNvGrpSpPr>
          <a:grpSpLocks/>
        </xdr:cNvGrpSpPr>
      </xdr:nvGrpSpPr>
      <xdr:grpSpPr>
        <a:xfrm>
          <a:off x="1057275" y="2228850"/>
          <a:ext cx="1162050" cy="1266825"/>
          <a:chOff x="1997933" y="736600"/>
          <a:chExt cx="1233995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62148" y="819150"/>
            <a:ext cx="1270089" cy="1104583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1997933" y="993775"/>
            <a:ext cx="1205922" cy="8724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Chapa Lisa Frente</a:t>
            </a:r>
            <a:r>
              <a:rPr lang="en-US" cap="none" sz="1600" b="0" i="0" u="none" baseline="0">
                <a:solidFill>
                  <a:srgbClr val="FFFFFF"/>
                </a:solidFill>
              </a:rPr>
              <a:t> e verso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152400</xdr:rowOff>
    </xdr:from>
    <xdr:to>
      <xdr:col>1</xdr:col>
      <xdr:colOff>466725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57150" y="2209800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94995"/>
            <a:ext cx="762640" cy="867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390525</xdr:colOff>
      <xdr:row>13</xdr:row>
      <xdr:rowOff>0</xdr:rowOff>
    </xdr:from>
    <xdr:to>
      <xdr:col>3</xdr:col>
      <xdr:colOff>85725</xdr:colOff>
      <xdr:row>20</xdr:row>
      <xdr:rowOff>66675</xdr:rowOff>
    </xdr:to>
    <xdr:grpSp>
      <xdr:nvGrpSpPr>
        <xdr:cNvPr id="4" name="Grupo 5"/>
        <xdr:cNvGrpSpPr>
          <a:grpSpLocks/>
        </xdr:cNvGrpSpPr>
      </xdr:nvGrpSpPr>
      <xdr:grpSpPr>
        <a:xfrm>
          <a:off x="1104900" y="2228850"/>
          <a:ext cx="1123950" cy="1266825"/>
          <a:chOff x="2041653" y="736600"/>
          <a:chExt cx="118745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111713" y="931228"/>
            <a:ext cx="957085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Chapa</a:t>
            </a:r>
            <a:r>
              <a:rPr lang="en-US" cap="none" sz="1600" b="0" i="0" u="none" baseline="0">
                <a:solidFill>
                  <a:srgbClr val="FFFFFF"/>
                </a:solidFill>
              </a:rPr>
              <a:t> Lisa 1 lado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152400</xdr:rowOff>
    </xdr:from>
    <xdr:to>
      <xdr:col>1</xdr:col>
      <xdr:colOff>466725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57150" y="2209800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276225</xdr:colOff>
      <xdr:row>13</xdr:row>
      <xdr:rowOff>0</xdr:rowOff>
    </xdr:from>
    <xdr:to>
      <xdr:col>3</xdr:col>
      <xdr:colOff>114300</xdr:colOff>
      <xdr:row>20</xdr:row>
      <xdr:rowOff>66675</xdr:rowOff>
    </xdr:to>
    <xdr:grpSp>
      <xdr:nvGrpSpPr>
        <xdr:cNvPr id="4" name="Grupo 5"/>
        <xdr:cNvGrpSpPr>
          <a:grpSpLocks/>
        </xdr:cNvGrpSpPr>
      </xdr:nvGrpSpPr>
      <xdr:grpSpPr>
        <a:xfrm>
          <a:off x="990600" y="2228850"/>
          <a:ext cx="1266825" cy="1266825"/>
          <a:chOff x="1915383" y="736600"/>
          <a:chExt cx="135182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60331" y="816928"/>
            <a:ext cx="1270035" cy="1109663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1915383" y="931228"/>
            <a:ext cx="135182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Sextavado Superior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142875</xdr:rowOff>
    </xdr:from>
    <xdr:to>
      <xdr:col>1</xdr:col>
      <xdr:colOff>466725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57150" y="2200275"/>
          <a:ext cx="1123950" cy="1285875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94995"/>
            <a:ext cx="762640" cy="867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390525</xdr:colOff>
      <xdr:row>12</xdr:row>
      <xdr:rowOff>161925</xdr:rowOff>
    </xdr:from>
    <xdr:to>
      <xdr:col>3</xdr:col>
      <xdr:colOff>85725</xdr:colOff>
      <xdr:row>20</xdr:row>
      <xdr:rowOff>57150</xdr:rowOff>
    </xdr:to>
    <xdr:grpSp>
      <xdr:nvGrpSpPr>
        <xdr:cNvPr id="4" name="Grupo 5"/>
        <xdr:cNvGrpSpPr>
          <a:grpSpLocks/>
        </xdr:cNvGrpSpPr>
      </xdr:nvGrpSpPr>
      <xdr:grpSpPr>
        <a:xfrm>
          <a:off x="1104900" y="2219325"/>
          <a:ext cx="1123950" cy="1266825"/>
          <a:chOff x="2041653" y="736600"/>
          <a:chExt cx="118745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111713" y="931228"/>
            <a:ext cx="957085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Cone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142875</xdr:rowOff>
    </xdr:from>
    <xdr:to>
      <xdr:col>3</xdr:col>
      <xdr:colOff>19050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66675" y="2200275"/>
          <a:ext cx="2095500" cy="1285875"/>
          <a:chOff x="0" y="2203450"/>
          <a:chExt cx="2209800" cy="1282698"/>
        </a:xfrm>
        <a:solidFill>
          <a:srgbClr val="FFFFFF"/>
        </a:solidFill>
      </xdr:grpSpPr>
      <xdr:grpSp>
        <xdr:nvGrpSpPr>
          <xdr:cNvPr id="2" name="Grupo 4"/>
          <xdr:cNvGrpSpPr>
            <a:grpSpLocks/>
          </xdr:cNvGrpSpPr>
        </xdr:nvGrpSpPr>
        <xdr:grpSpPr>
          <a:xfrm>
            <a:off x="0" y="2203450"/>
            <a:ext cx="1104900" cy="1269871"/>
            <a:chOff x="3467100" y="393700"/>
            <a:chExt cx="1104900" cy="1270000"/>
          </a:xfrm>
          <a:solidFill>
            <a:srgbClr val="FFFFFF"/>
          </a:solidFill>
        </xdr:grpSpPr>
        <xdr:sp>
          <xdr:nvSpPr>
            <xdr:cNvPr id="3" name="Hexágono 5"/>
            <xdr:cNvSpPr>
              <a:spLocks/>
            </xdr:cNvSpPr>
          </xdr:nvSpPr>
          <xdr:spPr>
            <a:xfrm rot="5400000">
              <a:off x="3386167" y="474663"/>
              <a:ext cx="1267044" cy="1104900"/>
            </a:xfrm>
            <a:prstGeom prst="hexagon">
              <a:avLst/>
            </a:prstGeom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Hexágono 4"/>
            <xdr:cNvSpPr>
              <a:spLocks/>
            </xdr:cNvSpPr>
          </xdr:nvSpPr>
          <xdr:spPr>
            <a:xfrm>
              <a:off x="3638360" y="589280"/>
              <a:ext cx="762657" cy="8759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600" b="0" i="0" u="none" baseline="0">
                  <a:solidFill>
                    <a:srgbClr val="FFFFFF"/>
                  </a:solidFill>
                </a:rPr>
                <a:t>Cálculo de área</a:t>
              </a:r>
            </a:p>
          </xdr:txBody>
        </xdr:sp>
      </xdr:grpSp>
      <xdr:grpSp>
        <xdr:nvGrpSpPr>
          <xdr:cNvPr id="5" name="Grupo 7"/>
          <xdr:cNvGrpSpPr>
            <a:grpSpLocks/>
          </xdr:cNvGrpSpPr>
        </xdr:nvGrpSpPr>
        <xdr:grpSpPr>
          <a:xfrm>
            <a:off x="1104900" y="2219163"/>
            <a:ext cx="1104900" cy="1266985"/>
            <a:chOff x="2041653" y="739541"/>
            <a:chExt cx="1104900" cy="1267057"/>
          </a:xfrm>
          <a:solidFill>
            <a:srgbClr val="FFFFFF"/>
          </a:solidFill>
        </xdr:grpSpPr>
        <xdr:sp>
          <xdr:nvSpPr>
            <xdr:cNvPr id="6" name="Hexágono 8"/>
            <xdr:cNvSpPr>
              <a:spLocks/>
            </xdr:cNvSpPr>
          </xdr:nvSpPr>
          <xdr:spPr>
            <a:xfrm rot="5400000">
              <a:off x="1960720" y="820633"/>
              <a:ext cx="1267044" cy="1104874"/>
            </a:xfrm>
            <a:prstGeom prst="hexagon">
              <a:avLst/>
            </a:prstGeom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Hexágono 4"/>
            <xdr:cNvSpPr>
              <a:spLocks/>
            </xdr:cNvSpPr>
          </xdr:nvSpPr>
          <xdr:spPr>
            <a:xfrm>
              <a:off x="2212913" y="934985"/>
              <a:ext cx="762657" cy="87585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6200" tIns="76200" rIns="76200" bIns="76200" anchor="ctr"/>
            <a:p>
              <a:pPr algn="ctr">
                <a:defRPr/>
              </a:pPr>
              <a:r>
                <a:rPr lang="en-US" cap="none" sz="1600" b="0" i="0" u="none" baseline="0">
                  <a:solidFill>
                    <a:srgbClr val="FFFFFF"/>
                  </a:solidFill>
                </a:rPr>
                <a:t>Rosca</a:t>
              </a:r>
            </a:p>
          </xdr:txBody>
        </xdr:sp>
      </xdr:grpSp>
    </xdr:grpSp>
    <xdr:clientData/>
  </xdr:twoCellAnchor>
  <xdr:twoCellAnchor>
    <xdr:from>
      <xdr:col>0</xdr:col>
      <xdr:colOff>638175</xdr:colOff>
      <xdr:row>18</xdr:row>
      <xdr:rowOff>114300</xdr:rowOff>
    </xdr:from>
    <xdr:to>
      <xdr:col>2</xdr:col>
      <xdr:colOff>190500</xdr:colOff>
      <xdr:row>25</xdr:row>
      <xdr:rowOff>28575</xdr:rowOff>
    </xdr:to>
    <xdr:grpSp>
      <xdr:nvGrpSpPr>
        <xdr:cNvPr id="8" name="Grupo 13">
          <a:hlinkClick r:id="rId1"/>
        </xdr:cNvPr>
        <xdr:cNvGrpSpPr>
          <a:grpSpLocks/>
        </xdr:cNvGrpSpPr>
      </xdr:nvGrpSpPr>
      <xdr:grpSpPr>
        <a:xfrm>
          <a:off x="638175" y="3200400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9" name="Hexágono 14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</xdr:row>
      <xdr:rowOff>95250</xdr:rowOff>
    </xdr:from>
    <xdr:to>
      <xdr:col>1</xdr:col>
      <xdr:colOff>685800</xdr:colOff>
      <xdr:row>19</xdr:row>
      <xdr:rowOff>9525</xdr:rowOff>
    </xdr:to>
    <xdr:grpSp>
      <xdr:nvGrpSpPr>
        <xdr:cNvPr id="1" name="Grupo 13">
          <a:hlinkClick r:id="rId1"/>
        </xdr:cNvPr>
        <xdr:cNvGrpSpPr>
          <a:grpSpLocks/>
        </xdr:cNvGrpSpPr>
      </xdr:nvGrpSpPr>
      <xdr:grpSpPr>
        <a:xfrm>
          <a:off x="409575" y="2047875"/>
          <a:ext cx="990600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2" name="Hexágono 2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18</xdr:row>
      <xdr:rowOff>19050</xdr:rowOff>
    </xdr:from>
    <xdr:to>
      <xdr:col>2</xdr:col>
      <xdr:colOff>381000</xdr:colOff>
      <xdr:row>24</xdr:row>
      <xdr:rowOff>95250</xdr:rowOff>
    </xdr:to>
    <xdr:grpSp>
      <xdr:nvGrpSpPr>
        <xdr:cNvPr id="1" name="Grupo 13">
          <a:hlinkClick r:id="rId1"/>
        </xdr:cNvPr>
        <xdr:cNvGrpSpPr>
          <a:grpSpLocks/>
        </xdr:cNvGrpSpPr>
      </xdr:nvGrpSpPr>
      <xdr:grpSpPr>
        <a:xfrm>
          <a:off x="581025" y="2933700"/>
          <a:ext cx="1019175" cy="1047750"/>
          <a:chOff x="579120" y="3147060"/>
          <a:chExt cx="1032510" cy="1089660"/>
        </a:xfrm>
        <a:solidFill>
          <a:srgbClr val="FFFFFF"/>
        </a:solidFill>
      </xdr:grpSpPr>
      <xdr:sp>
        <xdr:nvSpPr>
          <xdr:cNvPr id="2" name="Hexágono 2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142875</xdr:rowOff>
    </xdr:from>
    <xdr:to>
      <xdr:col>1</xdr:col>
      <xdr:colOff>476250</xdr:colOff>
      <xdr:row>20</xdr:row>
      <xdr:rowOff>47625</xdr:rowOff>
    </xdr:to>
    <xdr:grpSp>
      <xdr:nvGrpSpPr>
        <xdr:cNvPr id="1" name="Grupo 2"/>
        <xdr:cNvGrpSpPr>
          <a:grpSpLocks/>
        </xdr:cNvGrpSpPr>
      </xdr:nvGrpSpPr>
      <xdr:grpSpPr>
        <a:xfrm>
          <a:off x="66675" y="2200275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400050</xdr:colOff>
      <xdr:row>12</xdr:row>
      <xdr:rowOff>161925</xdr:rowOff>
    </xdr:from>
    <xdr:to>
      <xdr:col>3</xdr:col>
      <xdr:colOff>95250</xdr:colOff>
      <xdr:row>20</xdr:row>
      <xdr:rowOff>57150</xdr:rowOff>
    </xdr:to>
    <xdr:grpSp>
      <xdr:nvGrpSpPr>
        <xdr:cNvPr id="4" name="Grupo 5"/>
        <xdr:cNvGrpSpPr>
          <a:grpSpLocks/>
        </xdr:cNvGrpSpPr>
      </xdr:nvGrpSpPr>
      <xdr:grpSpPr>
        <a:xfrm>
          <a:off x="1114425" y="2219325"/>
          <a:ext cx="1123950" cy="1266825"/>
          <a:chOff x="2041653" y="736600"/>
          <a:chExt cx="118745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111713" y="931228"/>
            <a:ext cx="957085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Cilindro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225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226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142875</xdr:rowOff>
    </xdr:from>
    <xdr:to>
      <xdr:col>1</xdr:col>
      <xdr:colOff>476250</xdr:colOff>
      <xdr:row>20</xdr:row>
      <xdr:rowOff>47625</xdr:rowOff>
    </xdr:to>
    <xdr:grpSp>
      <xdr:nvGrpSpPr>
        <xdr:cNvPr id="1" name="Grupo 2"/>
        <xdr:cNvGrpSpPr>
          <a:grpSpLocks/>
        </xdr:cNvGrpSpPr>
      </xdr:nvGrpSpPr>
      <xdr:grpSpPr>
        <a:xfrm>
          <a:off x="66675" y="2200275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276225</xdr:colOff>
      <xdr:row>12</xdr:row>
      <xdr:rowOff>152400</xdr:rowOff>
    </xdr:from>
    <xdr:to>
      <xdr:col>3</xdr:col>
      <xdr:colOff>123825</xdr:colOff>
      <xdr:row>20</xdr:row>
      <xdr:rowOff>57150</xdr:rowOff>
    </xdr:to>
    <xdr:grpSp>
      <xdr:nvGrpSpPr>
        <xdr:cNvPr id="4" name="Grupo 5"/>
        <xdr:cNvGrpSpPr>
          <a:grpSpLocks/>
        </xdr:cNvGrpSpPr>
      </xdr:nvGrpSpPr>
      <xdr:grpSpPr>
        <a:xfrm>
          <a:off x="990600" y="2209800"/>
          <a:ext cx="1276350" cy="1276350"/>
          <a:chOff x="1909033" y="736600"/>
          <a:chExt cx="135817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60983" y="817563"/>
            <a:ext cx="1269889" cy="1108393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1909033" y="931228"/>
            <a:ext cx="135817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Sextavado Superior e Lateral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11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12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142875</xdr:rowOff>
    </xdr:from>
    <xdr:to>
      <xdr:col>1</xdr:col>
      <xdr:colOff>476250</xdr:colOff>
      <xdr:row>20</xdr:row>
      <xdr:rowOff>47625</xdr:rowOff>
    </xdr:to>
    <xdr:grpSp>
      <xdr:nvGrpSpPr>
        <xdr:cNvPr id="1" name="Grupo 2"/>
        <xdr:cNvGrpSpPr>
          <a:grpSpLocks/>
        </xdr:cNvGrpSpPr>
      </xdr:nvGrpSpPr>
      <xdr:grpSpPr>
        <a:xfrm>
          <a:off x="66675" y="2200275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400050</xdr:colOff>
      <xdr:row>12</xdr:row>
      <xdr:rowOff>161925</xdr:rowOff>
    </xdr:from>
    <xdr:to>
      <xdr:col>3</xdr:col>
      <xdr:colOff>95250</xdr:colOff>
      <xdr:row>20</xdr:row>
      <xdr:rowOff>57150</xdr:rowOff>
    </xdr:to>
    <xdr:grpSp>
      <xdr:nvGrpSpPr>
        <xdr:cNvPr id="4" name="Grupo 5"/>
        <xdr:cNvGrpSpPr>
          <a:grpSpLocks/>
        </xdr:cNvGrpSpPr>
      </xdr:nvGrpSpPr>
      <xdr:grpSpPr>
        <a:xfrm>
          <a:off x="1114425" y="2219325"/>
          <a:ext cx="1123950" cy="1266825"/>
          <a:chOff x="2041653" y="736600"/>
          <a:chExt cx="118745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111713" y="932498"/>
            <a:ext cx="957085" cy="877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Flange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17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18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142875</xdr:rowOff>
    </xdr:from>
    <xdr:to>
      <xdr:col>1</xdr:col>
      <xdr:colOff>476250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66675" y="2200275"/>
          <a:ext cx="1123950" cy="1285875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94995"/>
            <a:ext cx="762640" cy="867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333375</xdr:colOff>
      <xdr:row>12</xdr:row>
      <xdr:rowOff>161925</xdr:rowOff>
    </xdr:from>
    <xdr:to>
      <xdr:col>3</xdr:col>
      <xdr:colOff>85725</xdr:colOff>
      <xdr:row>20</xdr:row>
      <xdr:rowOff>57150</xdr:rowOff>
    </xdr:to>
    <xdr:grpSp>
      <xdr:nvGrpSpPr>
        <xdr:cNvPr id="4" name="Grupo 5"/>
        <xdr:cNvGrpSpPr>
          <a:grpSpLocks/>
        </xdr:cNvGrpSpPr>
      </xdr:nvGrpSpPr>
      <xdr:grpSpPr>
        <a:xfrm>
          <a:off x="1047750" y="2219325"/>
          <a:ext cx="1181100" cy="1266825"/>
          <a:chOff x="1972533" y="736600"/>
          <a:chExt cx="1256935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650" y="819785"/>
            <a:ext cx="1270133" cy="1103948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1972533" y="931228"/>
            <a:ext cx="1243737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Porca Sextavada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152400</xdr:rowOff>
    </xdr:from>
    <xdr:to>
      <xdr:col>1</xdr:col>
      <xdr:colOff>476250</xdr:colOff>
      <xdr:row>20</xdr:row>
      <xdr:rowOff>47625</xdr:rowOff>
    </xdr:to>
    <xdr:grpSp>
      <xdr:nvGrpSpPr>
        <xdr:cNvPr id="1" name="Grupo 2"/>
        <xdr:cNvGrpSpPr>
          <a:grpSpLocks/>
        </xdr:cNvGrpSpPr>
      </xdr:nvGrpSpPr>
      <xdr:grpSpPr>
        <a:xfrm>
          <a:off x="66675" y="2209800"/>
          <a:ext cx="1123950" cy="1266825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9598"/>
            <a:ext cx="762640" cy="877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400050</xdr:colOff>
      <xdr:row>12</xdr:row>
      <xdr:rowOff>161925</xdr:rowOff>
    </xdr:from>
    <xdr:to>
      <xdr:col>3</xdr:col>
      <xdr:colOff>95250</xdr:colOff>
      <xdr:row>20</xdr:row>
      <xdr:rowOff>57150</xdr:rowOff>
    </xdr:to>
    <xdr:grpSp>
      <xdr:nvGrpSpPr>
        <xdr:cNvPr id="4" name="Grupo 5"/>
        <xdr:cNvGrpSpPr>
          <a:grpSpLocks/>
        </xdr:cNvGrpSpPr>
      </xdr:nvGrpSpPr>
      <xdr:grpSpPr>
        <a:xfrm>
          <a:off x="1114425" y="2219325"/>
          <a:ext cx="1123950" cy="1266825"/>
          <a:chOff x="2041653" y="736600"/>
          <a:chExt cx="118745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111713" y="931228"/>
            <a:ext cx="957085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Arruela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152400</xdr:rowOff>
    </xdr:from>
    <xdr:to>
      <xdr:col>1</xdr:col>
      <xdr:colOff>476250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66675" y="2209800"/>
          <a:ext cx="1123950" cy="1276350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88328"/>
            <a:ext cx="762640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400050</xdr:colOff>
      <xdr:row>12</xdr:row>
      <xdr:rowOff>161925</xdr:rowOff>
    </xdr:from>
    <xdr:to>
      <xdr:col>3</xdr:col>
      <xdr:colOff>95250</xdr:colOff>
      <xdr:row>20</xdr:row>
      <xdr:rowOff>57150</xdr:rowOff>
    </xdr:to>
    <xdr:grpSp>
      <xdr:nvGrpSpPr>
        <xdr:cNvPr id="4" name="Grupo 5"/>
        <xdr:cNvGrpSpPr>
          <a:grpSpLocks/>
        </xdr:cNvGrpSpPr>
      </xdr:nvGrpSpPr>
      <xdr:grpSpPr>
        <a:xfrm>
          <a:off x="1114425" y="2219325"/>
          <a:ext cx="1123950" cy="1266825"/>
          <a:chOff x="2041653" y="736600"/>
          <a:chExt cx="118745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111713" y="932498"/>
            <a:ext cx="957085" cy="877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Arruela Pressão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142875</xdr:rowOff>
    </xdr:from>
    <xdr:to>
      <xdr:col>1</xdr:col>
      <xdr:colOff>466725</xdr:colOff>
      <xdr:row>20</xdr:row>
      <xdr:rowOff>57150</xdr:rowOff>
    </xdr:to>
    <xdr:grpSp>
      <xdr:nvGrpSpPr>
        <xdr:cNvPr id="1" name="Grupo 2"/>
        <xdr:cNvGrpSpPr>
          <a:grpSpLocks/>
        </xdr:cNvGrpSpPr>
      </xdr:nvGrpSpPr>
      <xdr:grpSpPr>
        <a:xfrm>
          <a:off x="57150" y="2200275"/>
          <a:ext cx="1123950" cy="1285875"/>
          <a:chOff x="3467100" y="393700"/>
          <a:chExt cx="1187450" cy="1270000"/>
        </a:xfrm>
        <a:solidFill>
          <a:srgbClr val="FFFFFF"/>
        </a:solidFill>
      </xdr:grpSpPr>
      <xdr:sp>
        <xdr:nvSpPr>
          <xdr:cNvPr id="2" name="Hexágono 3"/>
          <xdr:cNvSpPr>
            <a:spLocks/>
          </xdr:cNvSpPr>
        </xdr:nvSpPr>
        <xdr:spPr>
          <a:xfrm rot="5400000">
            <a:off x="3384870" y="4762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Hexágono 4"/>
          <xdr:cNvSpPr>
            <a:spLocks/>
          </xdr:cNvSpPr>
        </xdr:nvSpPr>
        <xdr:spPr>
          <a:xfrm>
            <a:off x="3638390" y="594995"/>
            <a:ext cx="762640" cy="867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Cálculo de área</a:t>
            </a:r>
          </a:p>
        </xdr:txBody>
      </xdr:sp>
    </xdr:grpSp>
    <xdr:clientData/>
  </xdr:twoCellAnchor>
  <xdr:twoCellAnchor>
    <xdr:from>
      <xdr:col>1</xdr:col>
      <xdr:colOff>390525</xdr:colOff>
      <xdr:row>12</xdr:row>
      <xdr:rowOff>161925</xdr:rowOff>
    </xdr:from>
    <xdr:to>
      <xdr:col>3</xdr:col>
      <xdr:colOff>85725</xdr:colOff>
      <xdr:row>20</xdr:row>
      <xdr:rowOff>57150</xdr:rowOff>
    </xdr:to>
    <xdr:grpSp>
      <xdr:nvGrpSpPr>
        <xdr:cNvPr id="4" name="Grupo 5"/>
        <xdr:cNvGrpSpPr>
          <a:grpSpLocks/>
        </xdr:cNvGrpSpPr>
      </xdr:nvGrpSpPr>
      <xdr:grpSpPr>
        <a:xfrm>
          <a:off x="1104900" y="2219325"/>
          <a:ext cx="1123950" cy="1266825"/>
          <a:chOff x="2041653" y="736600"/>
          <a:chExt cx="1187450" cy="1270000"/>
        </a:xfrm>
        <a:solidFill>
          <a:srgbClr val="FFFFFF"/>
        </a:solidFill>
      </xdr:grpSpPr>
      <xdr:sp>
        <xdr:nvSpPr>
          <xdr:cNvPr id="5" name="Hexágono 6"/>
          <xdr:cNvSpPr>
            <a:spLocks/>
          </xdr:cNvSpPr>
        </xdr:nvSpPr>
        <xdr:spPr>
          <a:xfrm rot="5400000">
            <a:off x="1959423" y="819150"/>
            <a:ext cx="1269978" cy="1104900"/>
          </a:xfrm>
          <a:prstGeom prst="hexagon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Hexágono 4"/>
          <xdr:cNvSpPr>
            <a:spLocks/>
          </xdr:cNvSpPr>
        </xdr:nvSpPr>
        <xdr:spPr>
          <a:xfrm>
            <a:off x="2049371" y="931228"/>
            <a:ext cx="1066033" cy="880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6200" tIns="76200" rIns="76200" bIns="7620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Rebaixo</a:t>
            </a:r>
          </a:p>
        </xdr:txBody>
      </xdr:sp>
    </xdr:grpSp>
    <xdr:clientData/>
  </xdr:twoCellAnchor>
  <xdr:twoCellAnchor>
    <xdr:from>
      <xdr:col>0</xdr:col>
      <xdr:colOff>638175</xdr:colOff>
      <xdr:row>18</xdr:row>
      <xdr:rowOff>123825</xdr:rowOff>
    </xdr:from>
    <xdr:to>
      <xdr:col>2</xdr:col>
      <xdr:colOff>190500</xdr:colOff>
      <xdr:row>25</xdr:row>
      <xdr:rowOff>38100</xdr:rowOff>
    </xdr:to>
    <xdr:grpSp>
      <xdr:nvGrpSpPr>
        <xdr:cNvPr id="7" name="Grupo 8">
          <a:hlinkClick r:id="rId1"/>
        </xdr:cNvPr>
        <xdr:cNvGrpSpPr>
          <a:grpSpLocks/>
        </xdr:cNvGrpSpPr>
      </xdr:nvGrpSpPr>
      <xdr:grpSpPr>
        <a:xfrm>
          <a:off x="638175" y="3209925"/>
          <a:ext cx="981075" cy="1114425"/>
          <a:chOff x="579120" y="3147060"/>
          <a:chExt cx="1032510" cy="1089660"/>
        </a:xfrm>
        <a:solidFill>
          <a:srgbClr val="FFFFFF"/>
        </a:solidFill>
      </xdr:grpSpPr>
      <xdr:sp>
        <xdr:nvSpPr>
          <xdr:cNvPr id="8" name="Hexágono 9"/>
          <xdr:cNvSpPr>
            <a:spLocks/>
          </xdr:cNvSpPr>
        </xdr:nvSpPr>
        <xdr:spPr>
          <a:xfrm rot="5400000">
            <a:off x="522333" y="3204267"/>
            <a:ext cx="1089556" cy="975246"/>
          </a:xfrm>
          <a:prstGeom prst="hexagon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Hexágono 4"/>
          <xdr:cNvSpPr>
            <a:spLocks/>
          </xdr:cNvSpPr>
        </xdr:nvSpPr>
        <xdr:spPr>
          <a:xfrm>
            <a:off x="708700" y="3246219"/>
            <a:ext cx="754507" cy="922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0"/>
  <dimension ref="A1:Q37"/>
  <sheetViews>
    <sheetView tabSelected="1" zoomScalePageLayoutView="0" workbookViewId="0" topLeftCell="A1">
      <selection activeCell="A1" sqref="A1"/>
    </sheetView>
  </sheetViews>
  <sheetFormatPr defaultColWidth="8.7109375" defaultRowHeight="12.75" outlineLevelRow="1"/>
  <cols>
    <col min="1" max="16384" width="8.7109375" style="50" customWidth="1"/>
  </cols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 outlineLevel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.75" outlineLevel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2.75" outlineLevel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2.75" outlineLevel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2.75" outlineLevel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2.75" outlineLevel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2.75" outlineLevel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2.75" outlineLevel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2.75" outlineLevel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2.75" outlineLevel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12.75" outlineLevel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12.75" outlineLevel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12.75" outlineLevel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2.75" outlineLevel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12.75" outlineLevel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12.75" outlineLevel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12.75" outlineLevel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12.75" outlineLevel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12.75" outlineLevel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12.75" outlineLevel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2.75" outlineLevel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12.75" outlineLevel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12.75" outlineLevel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2.75" outlineLevel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2.75" outlineLevel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2.75" outlineLevel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2.75" outlineLevel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12.75" outlineLevel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ht="12.75" outlineLevel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</sheetData>
  <sheetProtection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9"/>
  <dimension ref="A1:I28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69"/>
      <c r="B1" s="70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71"/>
      <c r="B2" s="70"/>
      <c r="C2" s="47"/>
      <c r="D2" s="47"/>
      <c r="F2" s="56" t="str">
        <f>IF(F4=0,"#1",254*F4/F3)</f>
        <v>#1</v>
      </c>
      <c r="G2" s="56" t="str">
        <f>IF(G3=0,"#2",254*G4/G3)</f>
        <v>#2</v>
      </c>
      <c r="H2" s="56" t="str">
        <f>IF(H3=0,"#3",254*H4/H3)</f>
        <v>#3</v>
      </c>
      <c r="I2" s="56" t="str">
        <f>IF(I3=0,"#4",254*I4/I3)</f>
        <v>#4</v>
      </c>
    </row>
    <row r="3" spans="1:9" ht="13.5" customHeight="1">
      <c r="A3" s="47"/>
      <c r="B3" s="47"/>
      <c r="C3" s="47" t="s">
        <v>20</v>
      </c>
      <c r="D3" s="47" t="s">
        <v>20</v>
      </c>
      <c r="E3" s="57" t="s">
        <v>21</v>
      </c>
      <c r="F3" s="68"/>
      <c r="G3" s="68"/>
      <c r="H3" s="68"/>
      <c r="I3" s="68"/>
    </row>
    <row r="4" spans="1:9" ht="13.5" customHeight="1">
      <c r="A4" s="69"/>
      <c r="B4" s="47"/>
      <c r="C4" s="47"/>
      <c r="D4" s="47"/>
      <c r="E4" s="57" t="s">
        <v>22</v>
      </c>
      <c r="F4" s="68"/>
      <c r="G4" s="68"/>
      <c r="H4" s="68"/>
      <c r="I4" s="68"/>
    </row>
    <row r="5" spans="1:4" ht="13.5" customHeight="1">
      <c r="A5" s="69"/>
      <c r="B5" s="47"/>
      <c r="C5" s="47"/>
      <c r="D5" s="4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23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16142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0"/>
  <dimension ref="A1:I29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69"/>
      <c r="B1" s="70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71"/>
      <c r="B2" s="70"/>
      <c r="C2" s="47"/>
      <c r="D2" s="47"/>
      <c r="F2" s="56" t="str">
        <f>IF(F4=0,"#1",509*F4/F3)</f>
        <v>#1</v>
      </c>
      <c r="G2" s="56" t="str">
        <f>IF(G4=0,"#2",509*G4/G3)</f>
        <v>#2</v>
      </c>
      <c r="H2" s="56" t="str">
        <f>IF(H4=0,"#3",509*H4/H3)</f>
        <v>#3</v>
      </c>
      <c r="I2" s="56" t="str">
        <f>IF(I4=0,"#4",509*I4/I3)</f>
        <v>#4</v>
      </c>
    </row>
    <row r="3" spans="1:9" ht="13.5" customHeight="1">
      <c r="A3" s="47"/>
      <c r="B3" s="47"/>
      <c r="C3" s="47"/>
      <c r="D3" s="47"/>
      <c r="E3" s="57" t="s">
        <v>21</v>
      </c>
      <c r="F3" s="68"/>
      <c r="G3" s="68"/>
      <c r="H3" s="68"/>
      <c r="I3" s="68"/>
    </row>
    <row r="4" spans="1:9" ht="13.5" customHeight="1">
      <c r="A4" s="69"/>
      <c r="B4" s="47"/>
      <c r="C4" s="47"/>
      <c r="D4" s="47"/>
      <c r="E4" s="80" t="s">
        <v>22</v>
      </c>
      <c r="F4" s="68"/>
      <c r="G4" s="68"/>
      <c r="H4" s="68"/>
      <c r="I4" s="68"/>
    </row>
    <row r="5" spans="1:4" ht="13.5" customHeight="1">
      <c r="A5" s="69"/>
      <c r="B5" s="47"/>
      <c r="C5" s="47"/>
      <c r="D5" s="4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24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  <row r="29" spans="1:4" ht="13.5" customHeight="1">
      <c r="A29" s="47"/>
      <c r="B29" s="47"/>
      <c r="C29" s="47"/>
      <c r="D29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18400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1"/>
  <dimension ref="A1:I28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47"/>
      <c r="B1" s="47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47"/>
      <c r="B2" s="47"/>
      <c r="C2" s="47"/>
      <c r="D2" s="47"/>
      <c r="E2" s="74"/>
      <c r="F2" s="56" t="str">
        <f>IF(F7=0,"#1",+(2*F3*F4+2*F3*F5+2*F4*F5+F5*(5.56*F6-3.67*F7)-1.57*F6*F6))</f>
        <v>#1</v>
      </c>
      <c r="G2" s="56" t="str">
        <f>IF(G7=0,"#2",+(2*G3*G4+2*G3*G5+2*G4*G5+G5*(5.56*G6-3.67*G7)-1.57*G6*G6))</f>
        <v>#2</v>
      </c>
      <c r="H2" s="56" t="str">
        <f>IF(H7=0,"#3",+(2*H3*H4+2*H3*H5+2*H4*H5+H5*(5.56*H6-3.67*H7)-1.57*H6*H6))</f>
        <v>#3</v>
      </c>
      <c r="I2" s="56" t="str">
        <f>IF(I7=0,"#4",+(2*I3*I4+2*I3*I5+2*I4*I5+I5*(5.56*I6-3.67*I7)-1.57*I6*I6))</f>
        <v>#4</v>
      </c>
    </row>
    <row r="3" spans="1:9" ht="13.5" customHeight="1">
      <c r="A3" s="47"/>
      <c r="B3" s="47"/>
      <c r="C3" s="47"/>
      <c r="D3" s="47"/>
      <c r="E3" s="73" t="s">
        <v>25</v>
      </c>
      <c r="F3" s="68"/>
      <c r="G3" s="68"/>
      <c r="H3" s="68"/>
      <c r="I3" s="68"/>
    </row>
    <row r="4" spans="1:9" ht="13.5" customHeight="1">
      <c r="A4" s="47"/>
      <c r="B4" s="47"/>
      <c r="C4" s="47"/>
      <c r="D4" s="47"/>
      <c r="E4" s="73" t="s">
        <v>9</v>
      </c>
      <c r="F4" s="68"/>
      <c r="G4" s="68"/>
      <c r="H4" s="68"/>
      <c r="I4" s="68"/>
    </row>
    <row r="5" spans="1:9" ht="13.5" customHeight="1">
      <c r="A5" s="47"/>
      <c r="B5" s="47"/>
      <c r="C5" s="47"/>
      <c r="D5" s="47"/>
      <c r="E5" s="73" t="s">
        <v>7</v>
      </c>
      <c r="F5" s="68"/>
      <c r="G5" s="68"/>
      <c r="H5" s="68"/>
      <c r="I5" s="68"/>
    </row>
    <row r="6" spans="1:9" ht="13.5" customHeight="1">
      <c r="A6" s="47"/>
      <c r="B6" s="47"/>
      <c r="C6" s="47"/>
      <c r="D6" s="47"/>
      <c r="E6" s="73" t="s">
        <v>3</v>
      </c>
      <c r="F6" s="68"/>
      <c r="G6" s="68"/>
      <c r="H6" s="68"/>
      <c r="I6" s="68"/>
    </row>
    <row r="7" spans="1:9" ht="13.5" customHeight="1">
      <c r="A7" s="47"/>
      <c r="B7" s="47"/>
      <c r="C7" s="47"/>
      <c r="D7" s="47"/>
      <c r="E7" s="73" t="s">
        <v>4</v>
      </c>
      <c r="F7" s="68"/>
      <c r="G7" s="68"/>
      <c r="H7" s="68"/>
      <c r="I7" s="68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26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112108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I27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75"/>
      <c r="B1" s="76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77"/>
      <c r="B2" s="76"/>
      <c r="C2" s="47"/>
      <c r="D2" s="47"/>
      <c r="F2" s="56" t="str">
        <f>IF(F3=0,"#1",1.57*F3*F3)</f>
        <v>#1</v>
      </c>
      <c r="G2" s="56" t="str">
        <f>IF(G3=0,"#2",1.57*G3*G3)</f>
        <v>#2</v>
      </c>
      <c r="H2" s="56" t="str">
        <f>IF(H3=0,"#3",1.57*H3*H3)</f>
        <v>#3</v>
      </c>
      <c r="I2" s="56" t="str">
        <f>IF(I3=0,"#4",1.57*I3*I3)</f>
        <v>#4</v>
      </c>
    </row>
    <row r="3" spans="1:9" ht="13.5" customHeight="1">
      <c r="A3" s="47"/>
      <c r="B3" s="47"/>
      <c r="C3" s="47"/>
      <c r="D3" s="47"/>
      <c r="E3" s="57" t="s">
        <v>12</v>
      </c>
      <c r="F3" s="68"/>
      <c r="G3" s="68"/>
      <c r="H3" s="68"/>
      <c r="I3" s="68"/>
    </row>
    <row r="4" spans="1:4" ht="13.5" customHeight="1">
      <c r="A4" s="75"/>
      <c r="B4" s="78"/>
      <c r="C4" s="47"/>
      <c r="D4" s="47"/>
    </row>
    <row r="5" spans="1:4" ht="13.5" customHeight="1">
      <c r="A5" s="47"/>
      <c r="B5" s="47"/>
      <c r="C5" s="47"/>
      <c r="D5" s="4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27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23090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3"/>
  <dimension ref="A1:I28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69"/>
      <c r="B1" s="70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71"/>
      <c r="B2" s="70"/>
      <c r="C2" s="47"/>
      <c r="D2" s="47"/>
      <c r="F2" s="56" t="str">
        <f>IF(F3=0,"#1",0.785*F3*F3)</f>
        <v>#1</v>
      </c>
      <c r="G2" s="56" t="str">
        <f>IF(G3=0,"#2",0.785*G3*G3)</f>
        <v>#2</v>
      </c>
      <c r="H2" s="56" t="str">
        <f>IF(H3=0,"#3",0.785*H3*H3)</f>
        <v>#3</v>
      </c>
      <c r="I2" s="56" t="str">
        <f>IF(I3=0,"#4",0.785*I3*I3)</f>
        <v>#4</v>
      </c>
    </row>
    <row r="3" spans="1:9" ht="13.5" customHeight="1">
      <c r="A3" s="47"/>
      <c r="B3" s="47"/>
      <c r="C3" s="47"/>
      <c r="D3" s="47"/>
      <c r="E3" s="57" t="s">
        <v>12</v>
      </c>
      <c r="F3" s="68"/>
      <c r="G3" s="68"/>
      <c r="H3" s="68"/>
      <c r="I3" s="68"/>
    </row>
    <row r="4" spans="1:4" ht="13.5" customHeight="1">
      <c r="A4" s="69"/>
      <c r="B4" s="47"/>
      <c r="C4" s="47"/>
      <c r="D4" s="47"/>
    </row>
    <row r="5" spans="1:4" ht="13.5" customHeight="1">
      <c r="A5" s="47"/>
      <c r="B5" s="47"/>
      <c r="C5" s="47"/>
      <c r="D5" s="4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28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118864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I27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69"/>
      <c r="B1" s="47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71"/>
      <c r="B2" s="47"/>
      <c r="C2" s="47"/>
      <c r="D2" s="47"/>
      <c r="E2" s="66"/>
      <c r="F2" s="56" t="str">
        <f>IF(F4=0,"#1",3.462*F3*F4)</f>
        <v>#1</v>
      </c>
      <c r="G2" s="56" t="str">
        <f>IF(G4=0,"#2",3.462*G3*G4)</f>
        <v>#2</v>
      </c>
      <c r="H2" s="56" t="str">
        <f>IF(H4=0,"#3",3.462*H3*H4)</f>
        <v>#3</v>
      </c>
      <c r="I2" s="56" t="str">
        <f>IF(I4=0,"#4",3.462*I3*I4)</f>
        <v>#4</v>
      </c>
    </row>
    <row r="3" spans="1:9" ht="13.5" customHeight="1">
      <c r="A3" s="47"/>
      <c r="B3" s="47"/>
      <c r="C3" s="47"/>
      <c r="D3" s="47"/>
      <c r="E3" s="73" t="s">
        <v>10</v>
      </c>
      <c r="F3" s="68"/>
      <c r="G3" s="68"/>
      <c r="H3" s="68"/>
      <c r="I3" s="68"/>
    </row>
    <row r="4" spans="1:9" ht="13.5" customHeight="1">
      <c r="A4" s="47"/>
      <c r="B4" s="47"/>
      <c r="C4" s="47"/>
      <c r="D4" s="47"/>
      <c r="E4" s="73" t="s">
        <v>7</v>
      </c>
      <c r="F4" s="68"/>
      <c r="G4" s="68"/>
      <c r="H4" s="68"/>
      <c r="I4" s="68"/>
    </row>
    <row r="5" spans="1:4" ht="13.5" customHeight="1">
      <c r="A5" s="47"/>
      <c r="B5" s="47"/>
      <c r="C5" s="47"/>
      <c r="D5" s="4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29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102117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5"/>
  <dimension ref="A1:I27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47"/>
      <c r="B1" s="47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47"/>
      <c r="B2" s="47"/>
      <c r="C2" s="47"/>
      <c r="D2" s="47"/>
      <c r="E2" s="67"/>
      <c r="F2" s="56" t="str">
        <f>IF(F4=0,"#1",2*F3*F4)</f>
        <v>#1</v>
      </c>
      <c r="G2" s="56" t="str">
        <f>IF(G4=0,"#2",2*G3*G4)</f>
        <v>#2</v>
      </c>
      <c r="H2" s="56" t="str">
        <f>IF(H4=0,"#3",2*H3*H4)</f>
        <v>#3</v>
      </c>
      <c r="I2" s="56" t="str">
        <f>IF(I4=0,"#4",2*I3*I4)</f>
        <v>#4</v>
      </c>
    </row>
    <row r="3" spans="1:9" ht="13.5" customHeight="1">
      <c r="A3" s="47"/>
      <c r="B3" s="47"/>
      <c r="C3" s="47"/>
      <c r="D3" s="47"/>
      <c r="E3" s="73" t="s">
        <v>25</v>
      </c>
      <c r="F3" s="68"/>
      <c r="G3" s="68"/>
      <c r="H3" s="68"/>
      <c r="I3" s="68"/>
    </row>
    <row r="4" spans="1:9" ht="13.5" customHeight="1">
      <c r="A4" s="47"/>
      <c r="B4" s="47"/>
      <c r="C4" s="47"/>
      <c r="D4" s="47"/>
      <c r="E4" s="73" t="s">
        <v>9</v>
      </c>
      <c r="F4" s="68"/>
      <c r="G4" s="68"/>
      <c r="H4" s="68"/>
      <c r="I4" s="68"/>
    </row>
    <row r="5" spans="1:4" ht="13.5" customHeight="1">
      <c r="A5" s="47"/>
      <c r="B5" s="47"/>
      <c r="C5" s="47"/>
      <c r="D5" s="4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30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222923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/>
  <dimension ref="A1:I27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47"/>
      <c r="B1" s="47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47"/>
      <c r="B2" s="47"/>
      <c r="C2" s="47"/>
      <c r="D2" s="47"/>
      <c r="E2" s="74"/>
      <c r="F2" s="56" t="str">
        <f>IF(F4=0,"#1",+F3*F4)</f>
        <v>#1</v>
      </c>
      <c r="G2" s="56" t="str">
        <f>IF(G4=0,"#2",+G3*G4)</f>
        <v>#2</v>
      </c>
      <c r="H2" s="56" t="str">
        <f>IF(H4=0,"#3",+H3*H4)</f>
        <v>#3</v>
      </c>
      <c r="I2" s="56" t="str">
        <f>IF(I4=0,"#4",+I3*I4)</f>
        <v>#4</v>
      </c>
    </row>
    <row r="3" spans="1:9" ht="13.5" customHeight="1">
      <c r="A3" s="47"/>
      <c r="B3" s="47"/>
      <c r="C3" s="47"/>
      <c r="D3" s="47"/>
      <c r="E3" s="73" t="s">
        <v>25</v>
      </c>
      <c r="F3" s="68"/>
      <c r="G3" s="68"/>
      <c r="H3" s="68"/>
      <c r="I3" s="68"/>
    </row>
    <row r="4" spans="1:9" ht="13.5" customHeight="1">
      <c r="A4" s="47"/>
      <c r="B4" s="47"/>
      <c r="C4" s="47"/>
      <c r="D4" s="47"/>
      <c r="E4" s="73" t="s">
        <v>9</v>
      </c>
      <c r="F4" s="68"/>
      <c r="G4" s="68"/>
      <c r="H4" s="68"/>
      <c r="I4" s="68"/>
    </row>
    <row r="5" spans="1:4" ht="13.5" customHeight="1">
      <c r="A5" s="47"/>
      <c r="B5" s="47"/>
      <c r="C5" s="47"/>
      <c r="D5" s="4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31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227482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7"/>
  <dimension ref="A1:I28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47"/>
      <c r="B1" s="47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47"/>
      <c r="B2" s="47"/>
      <c r="C2" s="47"/>
      <c r="D2" s="47"/>
      <c r="E2" s="74"/>
      <c r="F2" s="56" t="str">
        <f>IF(F3=0,"#1",0.866*F3*F3)</f>
        <v>#1</v>
      </c>
      <c r="G2" s="56" t="str">
        <f>IF(G3=0,"#2",0.866*G3*G3)</f>
        <v>#2</v>
      </c>
      <c r="H2" s="56" t="str">
        <f>IF(H3=0,"#3",0.866*H3*H3)</f>
        <v>#3</v>
      </c>
      <c r="I2" s="56" t="str">
        <f>IF(I3=0,"#4",0.866*I3*I3)</f>
        <v>#4</v>
      </c>
    </row>
    <row r="3" spans="1:9" ht="13.5" customHeight="1">
      <c r="A3" s="47"/>
      <c r="B3" s="47"/>
      <c r="C3" s="47"/>
      <c r="D3" s="47"/>
      <c r="E3" s="73" t="s">
        <v>10</v>
      </c>
      <c r="F3" s="68"/>
      <c r="G3" s="68"/>
      <c r="H3" s="68"/>
      <c r="I3" s="68"/>
    </row>
    <row r="4" spans="1:4" ht="13.5" customHeight="1">
      <c r="A4" s="47"/>
      <c r="B4" s="47"/>
      <c r="C4" s="47"/>
      <c r="D4" s="47"/>
    </row>
    <row r="5" spans="1:4" ht="13.5" customHeight="1">
      <c r="A5" s="47"/>
      <c r="B5" s="47"/>
      <c r="C5" s="47"/>
      <c r="D5" s="4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32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253862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8"/>
  <dimension ref="A1:I27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47"/>
      <c r="B1" s="47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47"/>
      <c r="B2" s="47"/>
      <c r="C2" s="47"/>
      <c r="D2" s="47"/>
      <c r="E2" s="74"/>
      <c r="F2" s="56" t="str">
        <f>IF(F4=0,"#1",1.57*F3*SQRT(F3*F3/4+F4*F4))</f>
        <v>#1</v>
      </c>
      <c r="G2" s="56" t="str">
        <f>IF(G4=0,"#2",1.57*G3*SQRT(G3*G3/4+G4*G4))</f>
        <v>#2</v>
      </c>
      <c r="H2" s="56" t="str">
        <f>IF(H4=0,"#3",1.57*H3*SQRT(H3*H3/4+H4*H4))</f>
        <v>#3</v>
      </c>
      <c r="I2" s="56" t="str">
        <f>IF(I4=0,"#4",1.57*I3*SQRT(I3*I3/4+I4*I4))</f>
        <v>#4</v>
      </c>
    </row>
    <row r="3" spans="1:9" ht="13.5" customHeight="1">
      <c r="A3" s="47"/>
      <c r="B3" s="47"/>
      <c r="C3" s="47"/>
      <c r="D3" s="47"/>
      <c r="E3" s="73" t="s">
        <v>12</v>
      </c>
      <c r="F3" s="68"/>
      <c r="G3" s="68"/>
      <c r="H3" s="68"/>
      <c r="I3" s="68"/>
    </row>
    <row r="4" spans="1:9" ht="13.5" customHeight="1">
      <c r="A4" s="47"/>
      <c r="B4" s="47"/>
      <c r="C4" s="47"/>
      <c r="D4" s="47"/>
      <c r="E4" s="73" t="s">
        <v>10</v>
      </c>
      <c r="F4" s="68"/>
      <c r="G4" s="68"/>
      <c r="H4" s="68"/>
      <c r="I4" s="68"/>
    </row>
    <row r="5" spans="1:4" ht="13.5" customHeight="1">
      <c r="A5" s="47"/>
      <c r="B5" s="47"/>
      <c r="C5" s="47"/>
      <c r="D5" s="4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33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2314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I28"/>
  <sheetViews>
    <sheetView zoomScalePageLayoutView="0" workbookViewId="0" topLeftCell="A1">
      <selection activeCell="G9" sqref="G9"/>
    </sheetView>
  </sheetViews>
  <sheetFormatPr defaultColWidth="10.7109375" defaultRowHeight="13.5" customHeight="1"/>
  <cols>
    <col min="1" max="3" width="10.7109375" style="46" customWidth="1"/>
    <col min="4" max="4" width="8.57421875" style="46" customWidth="1"/>
    <col min="5" max="5" width="8.7109375" style="46" customWidth="1"/>
    <col min="6" max="16384" width="10.7109375" style="46" customWidth="1"/>
  </cols>
  <sheetData>
    <row r="1" spans="1:7" ht="13.5" customHeight="1">
      <c r="A1" s="47"/>
      <c r="B1" s="47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 thickBot="1">
      <c r="A2" s="47"/>
      <c r="B2" s="47"/>
      <c r="C2" s="47"/>
      <c r="D2" s="47"/>
      <c r="E2" s="55"/>
      <c r="F2" s="56" t="str">
        <f>IF(F5=0,"#1",F3*(5.56*F4-3.67*F5))</f>
        <v>#1</v>
      </c>
      <c r="G2" s="56" t="str">
        <f>IF(G5=0,"#2",G3*(5.56*G4-3.67*G5))</f>
        <v>#2</v>
      </c>
      <c r="H2" s="56" t="str">
        <f>IF(H5=0,"#3",H3*(5.56*H4-3.67*H5))</f>
        <v>#3</v>
      </c>
      <c r="I2" s="56" t="str">
        <f>IF(I5=0,"#4",I3*(5.56*I4-3.67*I5))</f>
        <v>#4</v>
      </c>
    </row>
    <row r="3" spans="1:9" ht="13.5" customHeight="1" thickBot="1" thickTop="1">
      <c r="A3" s="47"/>
      <c r="B3" s="47"/>
      <c r="C3" s="47"/>
      <c r="D3" s="47"/>
      <c r="E3" s="57" t="s">
        <v>2</v>
      </c>
      <c r="F3" s="58"/>
      <c r="G3" s="59"/>
      <c r="H3" s="59"/>
      <c r="I3" s="60"/>
    </row>
    <row r="4" spans="1:9" ht="13.5" customHeight="1" thickBot="1" thickTop="1">
      <c r="A4" s="47"/>
      <c r="B4" s="47"/>
      <c r="C4" s="47"/>
      <c r="D4" s="47"/>
      <c r="E4" s="61" t="s">
        <v>3</v>
      </c>
      <c r="F4" s="62"/>
      <c r="G4" s="63"/>
      <c r="H4" s="63"/>
      <c r="I4" s="64"/>
    </row>
    <row r="5" spans="1:9" ht="13.5" customHeight="1" thickBot="1" thickTop="1">
      <c r="A5" s="47"/>
      <c r="B5" s="47"/>
      <c r="C5" s="47"/>
      <c r="D5" s="47"/>
      <c r="E5" s="57" t="s">
        <v>4</v>
      </c>
      <c r="F5" s="62"/>
      <c r="G5" s="63"/>
      <c r="H5" s="63"/>
      <c r="I5" s="64"/>
    </row>
    <row r="6" spans="1:4" ht="13.5" customHeight="1" thickTop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5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36822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9"/>
  <dimension ref="A1:N9"/>
  <sheetViews>
    <sheetView zoomScalePageLayoutView="0" workbookViewId="0" topLeftCell="A1">
      <selection activeCell="G16" sqref="G16"/>
    </sheetView>
  </sheetViews>
  <sheetFormatPr defaultColWidth="5.7109375" defaultRowHeight="13.5" customHeight="1"/>
  <cols>
    <col min="1" max="3" width="10.7109375" style="2" customWidth="1"/>
    <col min="4" max="5" width="10.28125" style="2" customWidth="1"/>
    <col min="6" max="6" width="10.7109375" style="2" customWidth="1"/>
    <col min="7" max="7" width="11.57421875" style="2" customWidth="1"/>
    <col min="8" max="8" width="7.7109375" style="2" customWidth="1"/>
    <col min="9" max="9" width="11.421875" style="2" customWidth="1"/>
    <col min="10" max="11" width="11.28125" style="2" customWidth="1"/>
    <col min="12" max="14" width="7.7109375" style="2" customWidth="1"/>
    <col min="15" max="16384" width="5.7109375" style="2" customWidth="1"/>
  </cols>
  <sheetData>
    <row r="1" spans="1:13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0.25" customHeight="1" thickBot="1" thickTop="1">
      <c r="A2" s="3" t="s">
        <v>34</v>
      </c>
      <c r="B2" s="4">
        <f>SUM(B5:K5,B7:K7)</f>
        <v>0</v>
      </c>
      <c r="C2" s="5"/>
      <c r="D2" s="6" t="s">
        <v>1</v>
      </c>
      <c r="E2" s="7">
        <f>B2/10000</f>
        <v>0</v>
      </c>
      <c r="F2" s="8"/>
      <c r="G2" s="9" t="s">
        <v>35</v>
      </c>
      <c r="H2" s="10">
        <f>+E2/100</f>
        <v>0</v>
      </c>
      <c r="I2" s="11"/>
      <c r="J2" s="12" t="s">
        <v>36</v>
      </c>
      <c r="K2" s="13">
        <f>+H2*3.2808*3.2808</f>
        <v>0</v>
      </c>
      <c r="L2" s="14"/>
      <c r="M2" s="15" t="s">
        <v>37</v>
      </c>
      <c r="N2" s="16"/>
    </row>
    <row r="3" spans="1:14" ht="6" customHeight="1" thickTop="1">
      <c r="A3" s="17"/>
      <c r="B3" s="18"/>
      <c r="C3" s="19"/>
      <c r="D3" s="20"/>
      <c r="E3" s="21"/>
      <c r="F3" s="22"/>
      <c r="G3" s="23"/>
      <c r="H3" s="24"/>
      <c r="I3" s="25"/>
      <c r="J3" s="26"/>
      <c r="K3" s="27"/>
      <c r="L3" s="28"/>
      <c r="M3" s="29"/>
      <c r="N3" s="16"/>
    </row>
    <row r="4" spans="1:12" ht="13.5" customHeight="1">
      <c r="A4" s="30" t="s">
        <v>38</v>
      </c>
      <c r="B4" s="31" t="s">
        <v>39</v>
      </c>
      <c r="C4" s="32" t="s">
        <v>40</v>
      </c>
      <c r="D4" s="32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3" t="s">
        <v>47</v>
      </c>
      <c r="K4" s="33" t="s">
        <v>48</v>
      </c>
      <c r="L4" s="34"/>
    </row>
    <row r="5" spans="1:12" ht="13.5" customHeight="1">
      <c r="A5" s="35" t="s">
        <v>1</v>
      </c>
      <c r="B5" s="36">
        <f>IF(Thread!F1=0,"",+Thread!F1)</f>
      </c>
      <c r="C5" s="37">
        <f>IF(Cylinder!F1=0,"",+Cylinder!F1)</f>
      </c>
      <c r="D5" s="37">
        <f>IF('Hex column'!F1=0,"",+'Hex column'!F1)</f>
      </c>
      <c r="E5" s="37">
        <f>IF(Flange!F1=0,"",+Flange!F1)</f>
      </c>
      <c r="F5" s="37">
        <f>IF('Hex nut'!F1=0,"",+'Hex nut'!F1)</f>
      </c>
      <c r="G5" s="37">
        <f>IF(Washer!F1=0,"",+Washer!F1)</f>
      </c>
      <c r="H5" s="37">
        <f>IF('Spring washer'!F1=0,"",+'Spring washer'!F1)</f>
      </c>
      <c r="I5" s="37">
        <f>IF(Recess!F1=0,"",+Recess!F1)</f>
      </c>
      <c r="J5" s="37">
        <f>IF(Sheet!F1=0,"",+Sheet!F1)</f>
      </c>
      <c r="K5" s="37">
        <f>IF(Wire!F1=0,"",+Wire!F1)</f>
      </c>
      <c r="L5" s="34"/>
    </row>
    <row r="6" spans="1:12" ht="13.5" customHeight="1">
      <c r="A6" s="30" t="s">
        <v>38</v>
      </c>
      <c r="B6" s="38" t="s">
        <v>49</v>
      </c>
      <c r="C6" s="33" t="s">
        <v>50</v>
      </c>
      <c r="D6" s="33" t="s">
        <v>51</v>
      </c>
      <c r="E6" s="33" t="s">
        <v>52</v>
      </c>
      <c r="F6" s="33" t="s">
        <v>53</v>
      </c>
      <c r="G6" s="33" t="s">
        <v>54</v>
      </c>
      <c r="H6" s="33" t="s">
        <v>55</v>
      </c>
      <c r="I6" s="33" t="s">
        <v>56</v>
      </c>
      <c r="J6" s="39" t="s">
        <v>57</v>
      </c>
      <c r="K6" s="40"/>
      <c r="L6" s="34"/>
    </row>
    <row r="7" spans="1:11" ht="13.5" customHeight="1">
      <c r="A7" s="41" t="s">
        <v>1</v>
      </c>
      <c r="B7" s="42">
        <f>IF(Tetra_nut!F1=0,"",+Tetra_nut!F1)</f>
      </c>
      <c r="C7" s="43">
        <f>IF('2 Circles'!F1=0,"",+'2 Circles'!F1)</f>
      </c>
      <c r="D7" s="43">
        <f>IF(Circle!F1=0,"",+Circle!F1)</f>
      </c>
      <c r="E7" s="43">
        <f>IF('Hex side'!F1=0,"",+'Hex side'!F1)</f>
      </c>
      <c r="F7" s="43">
        <f>IF('2 Square'!F1=0,"",+'2 Square'!F1)</f>
      </c>
      <c r="G7" s="43"/>
      <c r="H7" s="43">
        <f>IF(Hexagon!F1=0,"",+Hexagon!F1)</f>
      </c>
      <c r="I7" s="43">
        <f>IF(Cone!F1=0,"",+Cone!F1)</f>
      </c>
      <c r="J7" s="43"/>
      <c r="K7" s="44"/>
    </row>
    <row r="9" ht="13.5" customHeight="1">
      <c r="F9" s="45"/>
    </row>
  </sheetData>
  <sheetProtection/>
  <printOptions/>
  <pageMargins left="0.5118110236220472" right="0.5118110236220472" top="0.75" bottom="0.75" header="0.512" footer="0.512"/>
  <pageSetup horizontalDpi="360" verticalDpi="360" orientation="landscape" r:id="rId2"/>
  <headerFooter alignWithMargins="0">
    <oddHeader>&amp;C&amp;A</oddHeader>
    <oddFooter>&amp;C- &amp;P -</oddFooter>
  </headerFooter>
  <rowBreaks count="1" manualBreakCount="1">
    <brk id="5" max="6553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s="48" customFormat="1" ht="12.75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48" customFormat="1" ht="12.75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48" customFormat="1" ht="12.75">
      <c r="A3" s="49" t="s">
        <v>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48" customFormat="1" ht="12.75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s="48" customFormat="1" ht="12.75">
      <c r="A5" s="49" t="s">
        <v>60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48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48" customFormat="1" ht="12.75">
      <c r="A7" s="49" t="s">
        <v>61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48" customFormat="1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s="48" customFormat="1" ht="12.75">
      <c r="A9" s="49" t="s">
        <v>62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48" customFormat="1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8" customFormat="1" ht="12.75">
      <c r="A11" s="49" t="s">
        <v>65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8" customFormat="1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8" customFormat="1" ht="12.75">
      <c r="A13" s="49" t="s">
        <v>66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8" customFormat="1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8" customFormat="1" ht="12.75">
      <c r="A15" s="49" t="s">
        <v>67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8" customFormat="1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</sheetData>
  <sheetProtection sheet="1" objects="1" scenarios="1"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I28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69"/>
      <c r="B1" s="70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71"/>
      <c r="B2" s="70"/>
      <c r="C2" s="47"/>
      <c r="D2" s="47"/>
      <c r="E2" s="55"/>
      <c r="F2" s="56" t="str">
        <f>IF(F4=0,"#1",3.14*F3*F4)</f>
        <v>#1</v>
      </c>
      <c r="G2" s="56" t="str">
        <f>IF(G4=0,"#2",3.14*G3*G4)</f>
        <v>#2</v>
      </c>
      <c r="H2" s="56" t="str">
        <f>IF(H4=0,"#3",3.14*H3*H4)</f>
        <v>#3</v>
      </c>
      <c r="I2" s="56" t="str">
        <f>IF(I4=0,"#4",3.14*I3*I4)</f>
        <v>#4</v>
      </c>
    </row>
    <row r="3" spans="1:9" ht="13.5" customHeight="1">
      <c r="A3" s="69"/>
      <c r="B3" s="47"/>
      <c r="C3" s="47"/>
      <c r="D3" s="47"/>
      <c r="E3" s="57" t="s">
        <v>6</v>
      </c>
      <c r="F3" s="68"/>
      <c r="G3" s="68"/>
      <c r="H3" s="68"/>
      <c r="I3" s="68"/>
    </row>
    <row r="4" spans="1:9" ht="13.5" customHeight="1">
      <c r="A4" s="69"/>
      <c r="B4" s="47"/>
      <c r="C4" s="47"/>
      <c r="D4" s="47"/>
      <c r="E4" s="61" t="s">
        <v>7</v>
      </c>
      <c r="F4" s="68"/>
      <c r="G4" s="68"/>
      <c r="H4" s="68"/>
      <c r="I4" s="68"/>
    </row>
    <row r="5" spans="1:5" ht="13.5" customHeight="1">
      <c r="A5" s="47"/>
      <c r="B5" s="47"/>
      <c r="C5" s="47"/>
      <c r="D5" s="47"/>
      <c r="E5" s="5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8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38877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I29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69"/>
      <c r="B1" s="70"/>
      <c r="C1" s="47"/>
      <c r="D1" s="47"/>
      <c r="E1" s="46" t="s">
        <v>0</v>
      </c>
      <c r="F1" s="53">
        <f>SUM(F2:I2)</f>
        <v>0</v>
      </c>
      <c r="G1" s="54" t="s">
        <v>1</v>
      </c>
    </row>
    <row r="2" spans="1:9" ht="13.5" customHeight="1">
      <c r="A2" s="71"/>
      <c r="B2" s="70"/>
      <c r="C2" s="47"/>
      <c r="D2" s="47"/>
      <c r="F2" s="56" t="str">
        <f>IF(F4=0,"#1",1.73*F3*(F3+2*F4))</f>
        <v>#1</v>
      </c>
      <c r="G2" s="56" t="str">
        <f>IF(G4=0,"#2",1.73*G3*(G3+2*G4))</f>
        <v>#2</v>
      </c>
      <c r="H2" s="56" t="str">
        <f>IF(H4=0,"#3",1.73*H3*(H3+2*H4))</f>
        <v>#3</v>
      </c>
      <c r="I2" s="56" t="str">
        <f>IF(I4=0,"#4",1.73*I3*(I3+2*I4))</f>
        <v>#4</v>
      </c>
    </row>
    <row r="3" spans="1:9" ht="13.5" customHeight="1">
      <c r="A3" s="47"/>
      <c r="B3" s="47"/>
      <c r="C3" s="47"/>
      <c r="D3" s="47"/>
      <c r="E3" s="57" t="s">
        <v>9</v>
      </c>
      <c r="F3" s="68"/>
      <c r="G3" s="68"/>
      <c r="H3" s="68"/>
      <c r="I3" s="68"/>
    </row>
    <row r="4" spans="1:9" ht="13.5" customHeight="1">
      <c r="A4" s="69"/>
      <c r="B4" s="47"/>
      <c r="C4" s="47"/>
      <c r="D4" s="47"/>
      <c r="E4" s="57" t="s">
        <v>10</v>
      </c>
      <c r="F4" s="68"/>
      <c r="G4" s="68"/>
      <c r="H4" s="68"/>
      <c r="I4" s="68"/>
    </row>
    <row r="5" spans="1:4" ht="13.5" customHeight="1">
      <c r="A5" s="69"/>
      <c r="B5" s="47"/>
      <c r="C5" s="47"/>
      <c r="D5" s="4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11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  <row r="29" spans="1:4" ht="13.5" customHeight="1">
      <c r="A29" s="47"/>
      <c r="B29" s="47"/>
      <c r="C29" s="47"/>
      <c r="D29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55629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/>
  <dimension ref="A1:I28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69"/>
      <c r="B1" s="70"/>
      <c r="C1" s="47"/>
      <c r="D1" s="47"/>
      <c r="E1" s="46" t="s">
        <v>0</v>
      </c>
      <c r="F1" s="53">
        <f>SUM(F2:I2)</f>
        <v>0</v>
      </c>
      <c r="G1" s="54" t="s">
        <v>1</v>
      </c>
    </row>
    <row r="2" spans="1:9" ht="13.5" customHeight="1">
      <c r="A2" s="71"/>
      <c r="B2" s="70"/>
      <c r="C2" s="47"/>
      <c r="D2" s="47"/>
      <c r="F2" s="56" t="str">
        <f>IF(F6=0,"#1",(1.57*F5*F5+3.46*F3*F4+3.14*F5*F6))</f>
        <v>#1</v>
      </c>
      <c r="G2" s="56" t="str">
        <f>IF(G6=0,"#2",(1.57*G5*G5+3.46*G3*G4+3.14*G5*G6))</f>
        <v>#2</v>
      </c>
      <c r="H2" s="56" t="str">
        <f>IF(H6=0,"#3",(1.57*H5*H5+3.46*H3*H4+3.14*H5*H6))</f>
        <v>#3</v>
      </c>
      <c r="I2" s="56" t="str">
        <f>IF(I6=0,"#4",(1.57*I5*I5+3.46*I3*I4+3.14*I5*I6))</f>
        <v>#4</v>
      </c>
    </row>
    <row r="3" spans="1:9" ht="13.5" customHeight="1">
      <c r="A3" s="47"/>
      <c r="B3" s="47"/>
      <c r="C3" s="47"/>
      <c r="D3" s="47"/>
      <c r="E3" s="57" t="s">
        <v>9</v>
      </c>
      <c r="F3" s="68"/>
      <c r="G3" s="68"/>
      <c r="H3" s="68"/>
      <c r="I3" s="68"/>
    </row>
    <row r="4" spans="1:9" ht="13.5" customHeight="1">
      <c r="A4" s="69"/>
      <c r="B4" s="47"/>
      <c r="C4" s="47"/>
      <c r="D4" s="47"/>
      <c r="E4" s="57" t="s">
        <v>10</v>
      </c>
      <c r="F4" s="68"/>
      <c r="G4" s="68"/>
      <c r="H4" s="68"/>
      <c r="I4" s="68"/>
    </row>
    <row r="5" spans="1:9" ht="13.5" customHeight="1">
      <c r="A5" s="69"/>
      <c r="B5" s="47"/>
      <c r="C5" s="47"/>
      <c r="D5" s="47"/>
      <c r="E5" s="57" t="s">
        <v>12</v>
      </c>
      <c r="F5" s="68"/>
      <c r="G5" s="68"/>
      <c r="H5" s="68"/>
      <c r="I5" s="68"/>
    </row>
    <row r="6" spans="1:9" ht="13.5" customHeight="1">
      <c r="A6" s="69"/>
      <c r="B6" s="47"/>
      <c r="C6" s="47"/>
      <c r="D6" s="47"/>
      <c r="E6" s="57" t="s">
        <v>13</v>
      </c>
      <c r="F6" s="68"/>
      <c r="G6" s="68"/>
      <c r="H6" s="68"/>
      <c r="I6" s="68"/>
    </row>
    <row r="7" spans="1:4" ht="13.5" customHeight="1">
      <c r="A7" s="69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14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29323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/>
  <dimension ref="A1:I28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69"/>
      <c r="B1" s="70"/>
      <c r="C1" s="47"/>
      <c r="D1" s="47"/>
      <c r="E1" s="46" t="s">
        <v>0</v>
      </c>
      <c r="F1" s="53">
        <f>SUM(F2:I2)</f>
        <v>0</v>
      </c>
      <c r="G1" s="54" t="s">
        <v>1</v>
      </c>
    </row>
    <row r="2" spans="1:9" ht="13.5" customHeight="1">
      <c r="A2" s="71"/>
      <c r="B2" s="70"/>
      <c r="C2" s="47"/>
      <c r="D2" s="47"/>
      <c r="F2" s="56" t="str">
        <f>IF(F6=0,"#1",(1.73*F3*(F3+2*F4)-1.57*F5*F5+F4*(5.56*F5-3.67*F6)))</f>
        <v>#1</v>
      </c>
      <c r="G2" s="56" t="str">
        <f>IF(G6=0,"#2",(1.73*G3*(G3+2*G4)-1.57*G5*G5+G4*(5.56*G5-3.67*G6)))</f>
        <v>#2</v>
      </c>
      <c r="H2" s="56" t="str">
        <f>IF(H6=0,"#3",(1.73*H3*(H3+2*H4)-1.57*H5*H5+H4*(5.56*H5-3.67*H6)))</f>
        <v>#3</v>
      </c>
      <c r="I2" s="56" t="str">
        <f>IF(I6=0,"#4",(1.73*I3*(I3+2*I4)-1.57*I5*I5+I4*(5.56*I5-3.67*I6)))</f>
        <v>#4</v>
      </c>
    </row>
    <row r="3" spans="1:9" ht="13.5" customHeight="1">
      <c r="A3" s="47"/>
      <c r="B3" s="47"/>
      <c r="C3" s="47"/>
      <c r="D3" s="47"/>
      <c r="E3" s="57" t="s">
        <v>9</v>
      </c>
      <c r="F3" s="68"/>
      <c r="G3" s="68"/>
      <c r="H3" s="68"/>
      <c r="I3" s="68"/>
    </row>
    <row r="4" spans="1:9" ht="13.5" customHeight="1">
      <c r="A4" s="69"/>
      <c r="B4" s="47"/>
      <c r="C4" s="47"/>
      <c r="D4" s="47"/>
      <c r="E4" s="57" t="s">
        <v>10</v>
      </c>
      <c r="F4" s="68"/>
      <c r="G4" s="68"/>
      <c r="H4" s="68"/>
      <c r="I4" s="68"/>
    </row>
    <row r="5" spans="1:9" ht="13.5" customHeight="1">
      <c r="A5" s="69"/>
      <c r="B5" s="47"/>
      <c r="C5" s="47"/>
      <c r="D5" s="47"/>
      <c r="E5" s="57" t="s">
        <v>12</v>
      </c>
      <c r="F5" s="68"/>
      <c r="G5" s="68"/>
      <c r="H5" s="68"/>
      <c r="I5" s="68"/>
    </row>
    <row r="6" spans="1:9" ht="13.5" customHeight="1">
      <c r="A6" s="69"/>
      <c r="B6" s="47"/>
      <c r="C6" s="47"/>
      <c r="D6" s="47"/>
      <c r="E6" s="57" t="s">
        <v>4</v>
      </c>
      <c r="F6" s="68"/>
      <c r="G6" s="68"/>
      <c r="H6" s="68"/>
      <c r="I6" s="68"/>
    </row>
    <row r="7" spans="1:4" ht="13.5" customHeight="1">
      <c r="A7" s="69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15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43056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/>
  <dimension ref="A1:I28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69"/>
      <c r="B1" s="70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71"/>
      <c r="B2" s="70"/>
      <c r="C2" s="47"/>
      <c r="D2" s="47"/>
      <c r="F2" s="56" t="str">
        <f>IF(F5=0,"#1",1.57*(F3+F4)*(F3-F4+2*F5))</f>
        <v>#1</v>
      </c>
      <c r="G2" s="56" t="str">
        <f>IF(G5=0,"#2",1.57*(G3+G4)*(G3-G4+2*G5))</f>
        <v>#2</v>
      </c>
      <c r="H2" s="56" t="str">
        <f>IF(H5=0,"#3",1.57*(H3+H4)*(H3-H4+2*H5))</f>
        <v>#3</v>
      </c>
      <c r="I2" s="56" t="str">
        <f>IF(I5=0,"#4",1.57*(I3+I4)*(I3-I4+2*I5))</f>
        <v>#4</v>
      </c>
    </row>
    <row r="3" spans="1:9" ht="13.5" customHeight="1">
      <c r="A3" s="47"/>
      <c r="B3" s="47"/>
      <c r="C3" s="47"/>
      <c r="D3" s="47"/>
      <c r="E3" s="57" t="s">
        <v>12</v>
      </c>
      <c r="F3" s="72"/>
      <c r="G3" s="68"/>
      <c r="H3" s="68"/>
      <c r="I3" s="68"/>
    </row>
    <row r="4" spans="1:9" ht="13.5" customHeight="1">
      <c r="A4" s="69"/>
      <c r="B4" s="47"/>
      <c r="C4" s="47"/>
      <c r="D4" s="47"/>
      <c r="E4" s="57" t="s">
        <v>16</v>
      </c>
      <c r="F4" s="68"/>
      <c r="G4" s="68"/>
      <c r="H4" s="68"/>
      <c r="I4" s="68"/>
    </row>
    <row r="5" spans="1:9" ht="13.5" customHeight="1">
      <c r="A5" s="69"/>
      <c r="B5" s="47"/>
      <c r="C5" s="47"/>
      <c r="D5" s="47"/>
      <c r="E5" s="57" t="s">
        <v>13</v>
      </c>
      <c r="F5" s="68"/>
      <c r="G5" s="68"/>
      <c r="H5" s="68"/>
      <c r="I5" s="68"/>
    </row>
    <row r="6" spans="1:4" ht="13.5" customHeight="1">
      <c r="A6" s="69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17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54119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7"/>
  <dimension ref="A1:I28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75"/>
      <c r="B1" s="76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77"/>
      <c r="B2" s="76"/>
      <c r="C2" s="47"/>
      <c r="D2" s="47"/>
      <c r="F2" s="56" t="str">
        <f>IF(F5=0,"#1",(1.57*(F3+F4)*(F3-F4+2*F5)+(F3-F4)*F5))</f>
        <v>#1</v>
      </c>
      <c r="G2" s="56" t="str">
        <f>IF(G5=0,"#2",(1.57*(G3+G4)*(G3-G4+2*G5)+(G3-G4)*G5))</f>
        <v>#2</v>
      </c>
      <c r="H2" s="56" t="str">
        <f>IF(H5=0,"#3",(1.57*(H3+H4)*(H3-H4+2*H5)+(H3-H4)*H5))</f>
        <v>#3</v>
      </c>
      <c r="I2" s="56" t="str">
        <f>IF(I5=0,"#4",(1.57*(I3+I4)*(I3-I4+2*I5)+(I3-I4)*I5))</f>
        <v>#4</v>
      </c>
    </row>
    <row r="3" spans="1:9" ht="13.5" customHeight="1">
      <c r="A3" s="47"/>
      <c r="B3" s="47"/>
      <c r="C3" s="47"/>
      <c r="D3" s="47"/>
      <c r="E3" s="57" t="s">
        <v>12</v>
      </c>
      <c r="F3" s="68"/>
      <c r="G3" s="68"/>
      <c r="H3" s="68"/>
      <c r="I3" s="68"/>
    </row>
    <row r="4" spans="1:9" ht="13.5" customHeight="1">
      <c r="A4" s="75"/>
      <c r="B4" s="78"/>
      <c r="C4" s="47"/>
      <c r="D4" s="47"/>
      <c r="E4" s="57" t="s">
        <v>16</v>
      </c>
      <c r="F4" s="68"/>
      <c r="G4" s="68"/>
      <c r="H4" s="68"/>
      <c r="I4" s="68"/>
    </row>
    <row r="5" spans="1:9" ht="13.5" customHeight="1">
      <c r="A5" s="75"/>
      <c r="B5" s="78"/>
      <c r="C5" s="47"/>
      <c r="D5" s="47"/>
      <c r="E5" s="57" t="s">
        <v>13</v>
      </c>
      <c r="F5" s="68"/>
      <c r="G5" s="68"/>
      <c r="H5" s="68"/>
      <c r="I5" s="68"/>
    </row>
    <row r="6" spans="1:4" ht="13.5" customHeight="1">
      <c r="A6" s="75"/>
      <c r="B6" s="78"/>
      <c r="C6" s="47"/>
      <c r="D6" s="47"/>
    </row>
    <row r="7" spans="1:4" ht="13.5" customHeight="1">
      <c r="A7" s="47"/>
      <c r="B7" s="47"/>
      <c r="C7" s="47"/>
      <c r="D7" s="79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18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73259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8"/>
  <dimension ref="A1:I29"/>
  <sheetViews>
    <sheetView zoomScalePageLayoutView="0" workbookViewId="0" topLeftCell="A1">
      <selection activeCell="A1" sqref="A1"/>
    </sheetView>
  </sheetViews>
  <sheetFormatPr defaultColWidth="10.7109375" defaultRowHeight="13.5" customHeight="1"/>
  <cols>
    <col min="1" max="16384" width="10.7109375" style="46" customWidth="1"/>
  </cols>
  <sheetData>
    <row r="1" spans="1:7" ht="13.5" customHeight="1">
      <c r="A1" s="75"/>
      <c r="B1" s="76"/>
      <c r="C1" s="47"/>
      <c r="D1" s="47"/>
      <c r="E1" s="52" t="s">
        <v>0</v>
      </c>
      <c r="F1" s="53">
        <f>SUM(F2:I2)</f>
        <v>0</v>
      </c>
      <c r="G1" s="54" t="s">
        <v>1</v>
      </c>
    </row>
    <row r="2" spans="1:9" ht="13.5" customHeight="1">
      <c r="A2" s="77"/>
      <c r="B2" s="76"/>
      <c r="C2" s="47"/>
      <c r="D2" s="47"/>
      <c r="F2" s="56" t="str">
        <f>IF(F4=0,"#1",4*F3*F4)</f>
        <v>#1</v>
      </c>
      <c r="G2" s="56" t="str">
        <f>IF(G4=0,"#2",4*G3*G4)</f>
        <v>#2</v>
      </c>
      <c r="H2" s="56" t="str">
        <f>IF(H4=0,"#3",4*H3*H4)</f>
        <v>#3</v>
      </c>
      <c r="I2" s="56" t="str">
        <f>IF(I4=0,"#4",4*I3*I4)</f>
        <v>#4</v>
      </c>
    </row>
    <row r="3" spans="1:9" ht="13.5" customHeight="1">
      <c r="A3" s="47"/>
      <c r="B3" s="47"/>
      <c r="C3" s="47"/>
      <c r="D3" s="47"/>
      <c r="E3" s="57" t="s">
        <v>6</v>
      </c>
      <c r="F3" s="68"/>
      <c r="G3" s="68"/>
      <c r="H3" s="68"/>
      <c r="I3" s="68"/>
    </row>
    <row r="4" spans="1:9" ht="13.5" customHeight="1">
      <c r="A4" s="75"/>
      <c r="B4" s="78"/>
      <c r="C4" s="47"/>
      <c r="D4" s="47"/>
      <c r="E4" s="57" t="s">
        <v>13</v>
      </c>
      <c r="F4" s="68"/>
      <c r="G4" s="68"/>
      <c r="H4" s="68"/>
      <c r="I4" s="68"/>
    </row>
    <row r="5" spans="1:4" ht="13.5" customHeight="1">
      <c r="A5" s="75"/>
      <c r="B5" s="78"/>
      <c r="C5" s="47"/>
      <c r="D5" s="47"/>
    </row>
    <row r="6" spans="1:4" ht="13.5" customHeight="1">
      <c r="A6" s="47"/>
      <c r="B6" s="47"/>
      <c r="C6" s="47"/>
      <c r="D6" s="47"/>
    </row>
    <row r="7" spans="1:4" ht="13.5" customHeight="1">
      <c r="A7" s="47"/>
      <c r="B7" s="47"/>
      <c r="C7" s="47"/>
      <c r="D7" s="47"/>
    </row>
    <row r="8" spans="1:4" ht="13.5" customHeight="1">
      <c r="A8" s="47"/>
      <c r="B8" s="47"/>
      <c r="C8" s="47"/>
      <c r="D8" s="47"/>
    </row>
    <row r="9" spans="1:4" ht="13.5" customHeight="1">
      <c r="A9" s="47"/>
      <c r="B9" s="47"/>
      <c r="C9" s="47"/>
      <c r="D9" s="47"/>
    </row>
    <row r="10" spans="1:4" ht="13.5" customHeight="1">
      <c r="A10" s="47"/>
      <c r="B10" s="47"/>
      <c r="C10" s="47"/>
      <c r="D10" s="47"/>
    </row>
    <row r="11" spans="1:4" ht="13.5" customHeight="1">
      <c r="A11" s="47"/>
      <c r="B11" s="47"/>
      <c r="C11" s="47"/>
      <c r="D11" s="47"/>
    </row>
    <row r="12" spans="1:4" ht="13.5" customHeight="1">
      <c r="A12" s="65" t="s">
        <v>19</v>
      </c>
      <c r="B12" s="47"/>
      <c r="C12" s="47"/>
      <c r="D12" s="47"/>
    </row>
    <row r="13" spans="1:4" ht="13.5" customHeight="1">
      <c r="A13" s="47"/>
      <c r="B13" s="47"/>
      <c r="C13" s="47"/>
      <c r="D13" s="47"/>
    </row>
    <row r="14" spans="1:4" ht="13.5" customHeight="1">
      <c r="A14" s="47"/>
      <c r="B14" s="47"/>
      <c r="C14" s="47"/>
      <c r="D14" s="47"/>
    </row>
    <row r="15" spans="1:4" ht="13.5" customHeight="1">
      <c r="A15" s="47"/>
      <c r="B15" s="47"/>
      <c r="C15" s="47"/>
      <c r="D15" s="47"/>
    </row>
    <row r="16" spans="1:4" ht="13.5" customHeight="1">
      <c r="A16" s="47"/>
      <c r="B16" s="47"/>
      <c r="C16" s="47"/>
      <c r="D16" s="47"/>
    </row>
    <row r="17" spans="1:4" ht="13.5" customHeight="1">
      <c r="A17" s="47"/>
      <c r="B17" s="47"/>
      <c r="C17" s="47"/>
      <c r="D17" s="47"/>
    </row>
    <row r="18" spans="1:4" ht="13.5" customHeight="1">
      <c r="A18" s="47"/>
      <c r="B18" s="47"/>
      <c r="C18" s="47"/>
      <c r="D18" s="47"/>
    </row>
    <row r="19" spans="1:4" ht="13.5" customHeight="1">
      <c r="A19" s="47"/>
      <c r="B19" s="47"/>
      <c r="C19" s="47"/>
      <c r="D19" s="47"/>
    </row>
    <row r="20" spans="1:4" ht="13.5" customHeight="1">
      <c r="A20" s="47"/>
      <c r="B20" s="47"/>
      <c r="C20" s="47"/>
      <c r="D20" s="47"/>
    </row>
    <row r="21" spans="1:4" ht="13.5" customHeight="1">
      <c r="A21" s="47"/>
      <c r="B21" s="47"/>
      <c r="C21" s="47"/>
      <c r="D21" s="47"/>
    </row>
    <row r="22" spans="1:4" ht="13.5" customHeight="1">
      <c r="A22" s="47"/>
      <c r="B22" s="47"/>
      <c r="C22" s="47"/>
      <c r="D22" s="47"/>
    </row>
    <row r="23" spans="1:4" ht="13.5" customHeight="1">
      <c r="A23" s="47"/>
      <c r="B23" s="47"/>
      <c r="C23" s="47"/>
      <c r="D23" s="47"/>
    </row>
    <row r="24" spans="1:4" ht="13.5" customHeight="1">
      <c r="A24" s="47"/>
      <c r="B24" s="47"/>
      <c r="C24" s="47"/>
      <c r="D24" s="47"/>
    </row>
    <row r="25" spans="1:4" ht="13.5" customHeight="1">
      <c r="A25" s="47"/>
      <c r="B25" s="47"/>
      <c r="C25" s="47"/>
      <c r="D25" s="47"/>
    </row>
    <row r="26" spans="1:4" ht="13.5" customHeight="1">
      <c r="A26" s="47"/>
      <c r="B26" s="47"/>
      <c r="C26" s="47"/>
      <c r="D26" s="47"/>
    </row>
    <row r="27" spans="1:4" ht="13.5" customHeight="1">
      <c r="A27" s="47"/>
      <c r="B27" s="47"/>
      <c r="C27" s="47"/>
      <c r="D27" s="47"/>
    </row>
    <row r="28" spans="1:4" ht="13.5" customHeight="1">
      <c r="A28" s="47"/>
      <c r="B28" s="47"/>
      <c r="C28" s="47"/>
      <c r="D28" s="47"/>
    </row>
    <row r="29" spans="1:4" ht="13.5" customHeight="1">
      <c r="A29" s="47"/>
      <c r="B29" s="47"/>
      <c r="C29" s="47"/>
      <c r="D29" s="47"/>
    </row>
  </sheetData>
  <sheetProtection sheet="1" objects="1" scenarios="1"/>
  <printOptions/>
  <pageMargins left="0.5118110236220472" right="0.5118110236220472" top="0.75" bottom="0.75" header="0.512" footer="0.512"/>
  <pageSetup horizontalDpi="360" verticalDpi="360" orientation="landscape" r:id="rId4"/>
  <headerFooter alignWithMargins="0">
    <oddHeader>&amp;C&amp;A</oddHeader>
    <oddFooter>&amp;C- &amp;P -</oddFooter>
  </headerFooter>
  <drawing r:id="rId3"/>
  <legacyDrawing r:id="rId2"/>
  <oleObjects>
    <oleObject progId="‰ÔŽq" shapeId="1451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Surface Area</dc:title>
  <dc:subject>for Excel 5.0/7.0</dc:subject>
  <dc:creator>michi</dc:creator>
  <cp:keywords/>
  <dc:description/>
  <cp:lastModifiedBy>Masigo</cp:lastModifiedBy>
  <cp:lastPrinted>1998-11-16T23:19:44Z</cp:lastPrinted>
  <dcterms:created xsi:type="dcterms:W3CDTF">1998-11-16T22:54:42Z</dcterms:created>
  <dcterms:modified xsi:type="dcterms:W3CDTF">2018-05-23T17:23:50Z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